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8445" tabRatio="833" activeTab="0"/>
  </bookViews>
  <sheets>
    <sheet name="Прил.8 от 27.12.2010" sheetId="1" r:id="rId1"/>
    <sheet name="Ходатайство" sheetId="2" r:id="rId2"/>
    <sheet name="Бюджетная роспись на 27.09.2010" sheetId="3" r:id="rId3"/>
  </sheets>
  <definedNames>
    <definedName name="_xlnm.Print_Area" localSheetId="2">'Бюджетная роспись на 27.09.2010'!$A$1:$M$290</definedName>
    <definedName name="_xlnm.Print_Area" localSheetId="0">'Прил.8 от 27.12.2010'!$A$1:$G$148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G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2323,95</t>
        </r>
      </text>
    </comment>
    <comment ref="G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513250</t>
        </r>
      </text>
    </comment>
    <comment ref="G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701,05</t>
        </r>
      </text>
    </comment>
    <comment ref="G9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12481,15</t>
        </r>
      </text>
    </comment>
    <comment ref="G1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1555,478</t>
        </r>
      </text>
    </comment>
  </commentList>
</comments>
</file>

<file path=xl/comments3.xml><?xml version="1.0" encoding="utf-8"?>
<comments xmlns="http://schemas.openxmlformats.org/spreadsheetml/2006/main">
  <authors>
    <author>Billi</author>
    <author>User</author>
  </authors>
  <commentList>
    <comment ref="I40" authorId="0">
      <text>
        <r>
          <rPr>
            <b/>
            <sz val="8"/>
            <rFont val="Tahoma"/>
            <family val="0"/>
          </rPr>
          <t>Billi:</t>
        </r>
        <r>
          <rPr>
            <sz val="8"/>
            <rFont val="Tahoma"/>
            <family val="0"/>
          </rPr>
          <t xml:space="preserve">
в 2007 году было 125 Мегафон</t>
        </r>
      </text>
    </comment>
    <comment ref="I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5743,94097
(4744,4912836767/1,155*1,1825)*1,1825</t>
        </r>
      </text>
    </comment>
    <comment ref="I25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14648500</t>
        </r>
      </text>
    </comment>
    <comment ref="I28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71000 мероприятия в рамках текущей деятельности (Лад.зв.,9мая,День мол., День пос.); 
 150000 охрана питание</t>
        </r>
      </text>
    </comment>
    <comment ref="I2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прожектора</t>
        </r>
      </text>
    </comment>
    <comment ref="I28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мат-лы для оформл.сцены (шары, драпировки)</t>
        </r>
      </text>
    </comment>
    <comment ref="I2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6674,8</t>
        </r>
      </text>
    </comment>
    <comment ref="I9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228960 - сумма договора с АСС ЛО на 2010 год (изначально запланировано 220 000)</t>
        </r>
      </text>
    </comment>
  </commentList>
</comments>
</file>

<file path=xl/sharedStrings.xml><?xml version="1.0" encoding="utf-8"?>
<sst xmlns="http://schemas.openxmlformats.org/spreadsheetml/2006/main" count="1723" uniqueCount="321">
  <si>
    <t>№</t>
  </si>
  <si>
    <t>п/п</t>
  </si>
  <si>
    <t>наименование</t>
  </si>
  <si>
    <t>код подраздела</t>
  </si>
  <si>
    <t>код целевой статьи</t>
  </si>
  <si>
    <t>код вида расхода</t>
  </si>
  <si>
    <r>
      <t>Главный распорядитель (распорядитель) бюджетных средств: Администрация муниципального образования «Морозовское городское</t>
    </r>
    <r>
      <rPr>
        <sz val="14"/>
        <rFont val="Times New Roman"/>
        <family val="1"/>
      </rPr>
      <t xml:space="preserve">  </t>
    </r>
    <r>
      <rPr>
        <sz val="12"/>
        <rFont val="Times New Roman"/>
        <family val="1"/>
      </rPr>
      <t>поселение»</t>
    </r>
  </si>
  <si>
    <t>Общегосударственные вопросы</t>
  </si>
  <si>
    <t>1.</t>
  </si>
  <si>
    <t>Совет депутатов</t>
  </si>
  <si>
    <t>Функционирование представительных органов муниципальных образований</t>
  </si>
  <si>
    <t>Руководство и управление в сфере установленных функций</t>
  </si>
  <si>
    <t>Центральный аппарат</t>
  </si>
  <si>
    <t>Обеспечение деятельности органов местного самоуправления</t>
  </si>
  <si>
    <t>Выполнение функций органами местного самоуправления</t>
  </si>
  <si>
    <t>Депутаты представительного органа местного самоуправления</t>
  </si>
  <si>
    <t>2.</t>
  </si>
  <si>
    <t>Администрация муниципального образования «Морозовское городское поселение»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</si>
  <si>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</si>
  <si>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Глава местной администрации</t>
  </si>
  <si>
    <t>Резервные фонды</t>
  </si>
  <si>
    <t>Резервные фонды местных администраций</t>
  </si>
  <si>
    <t>Резервный фонд администрации МО «Морозовское городское поселение»</t>
  </si>
  <si>
    <t>Прочие расходы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</si>
  <si>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</si>
  <si>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</si>
  <si>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</si>
  <si>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</si>
  <si>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</si>
  <si>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</si>
  <si>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</si>
  <si>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</si>
  <si>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</si>
  <si>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характера.</t>
  </si>
  <si>
    <t>Национальная экономика</t>
  </si>
  <si>
    <t>Топливно-энергетический комплекс</t>
  </si>
  <si>
    <t>Вопросы топливно-энергетического комплекса</t>
  </si>
  <si>
    <t>Субсидии на возмещение муниципальным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</t>
  </si>
  <si>
    <t>Субсидии юридическим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</si>
  <si>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</si>
  <si>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</si>
  <si>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</si>
  <si>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</si>
  <si>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</si>
  <si>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</si>
  <si>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Бюджетные инвестиции</t>
  </si>
  <si>
    <t>Коммунальное хозяйство</t>
  </si>
  <si>
    <t>Поддержка коммунального хозяйства</t>
  </si>
  <si>
    <t>Субсидии на возмещение муниципальным предприятиям убытков, связанных с оказанием банных услуг по тарифам, не обеспечивающим возмещение издержек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</si>
  <si>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</si>
  <si>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</si>
  <si>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муниципального образования в рамках благоустройства</t>
  </si>
  <si>
    <t>Озеленение</t>
  </si>
  <si>
    <t>Прочие мероприятия по благоустройству</t>
  </si>
  <si>
    <t>0бразование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</si>
  <si>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</si>
  <si>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</si>
  <si>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</si>
  <si>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Культура, кинематография, средства массовой информации</t>
  </si>
  <si>
    <t>Культура</t>
  </si>
  <si>
    <t>3.</t>
  </si>
  <si>
    <t>МУ «Дом культуры имени Н.М. Чекалова»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</si>
  <si>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</si>
  <si>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</si>
  <si>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</si>
  <si>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Здравоохранение, физическая культура и спорт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</si>
  <si>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</si>
  <si>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</si>
  <si>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туризма.</t>
  </si>
  <si>
    <t>Социальная политика</t>
  </si>
  <si>
    <t>Социальное обеспечение населения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</si>
  <si>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</si>
  <si>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</si>
  <si>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</si>
  <si>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</si>
  <si>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</si>
  <si>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расходов</t>
  </si>
  <si>
    <t>сумма на 2010 год (тысяч рублей)</t>
  </si>
  <si>
    <t>0020400</t>
  </si>
  <si>
    <t>0021200</t>
  </si>
  <si>
    <t>0020000</t>
  </si>
  <si>
    <t>0020800</t>
  </si>
  <si>
    <t>0100</t>
  </si>
  <si>
    <t>0103</t>
  </si>
  <si>
    <t>0104</t>
  </si>
  <si>
    <t>000</t>
  </si>
  <si>
    <t>0112</t>
  </si>
  <si>
    <t>0114</t>
  </si>
  <si>
    <t>0200</t>
  </si>
  <si>
    <t>0203</t>
  </si>
  <si>
    <t>0300</t>
  </si>
  <si>
    <t>0309</t>
  </si>
  <si>
    <t>0400</t>
  </si>
  <si>
    <t>0402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</si>
  <si>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</si>
  <si>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</si>
  <si>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</si>
  <si>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</si>
  <si>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</si>
  <si>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</si>
  <si>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</si>
  <si>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</si>
  <si>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</si>
  <si>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0900</t>
  </si>
  <si>
    <t>0908</t>
  </si>
  <si>
    <t>013</t>
  </si>
  <si>
    <t>017</t>
  </si>
  <si>
    <t>001</t>
  </si>
  <si>
    <t>006</t>
  </si>
  <si>
    <t>003</t>
  </si>
  <si>
    <t>500</t>
  </si>
  <si>
    <t>к постановлению Совета депутатов</t>
  </si>
  <si>
    <t>МО «Морозовское городское поселение»</t>
  </si>
  <si>
    <t>ВЕДОМСТВЕННАЯ СТРУКТУРА</t>
  </si>
  <si>
    <t>9900</t>
  </si>
  <si>
    <t>Условно утвержденные расходы</t>
  </si>
  <si>
    <t>9999</t>
  </si>
  <si>
    <t>9990000</t>
  </si>
  <si>
    <t>999</t>
  </si>
  <si>
    <t>0700000</t>
  </si>
  <si>
    <t>0700500</t>
  </si>
  <si>
    <t>0920000</t>
  </si>
  <si>
    <t>0920300</t>
  </si>
  <si>
    <t>0013600</t>
  </si>
  <si>
    <t>1020102</t>
  </si>
  <si>
    <t>Бюджетные инвестиции в объекты капитального строительства муниципальных образований</t>
  </si>
  <si>
    <t>0980201</t>
  </si>
  <si>
    <t>0111</t>
  </si>
  <si>
    <t>3510200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</si>
  <si>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</si>
  <si>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</si>
  <si>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Мероприятия в области жилищного хозяйства (за счет средств местного бюджета)</t>
  </si>
  <si>
    <t>3500300</t>
  </si>
  <si>
    <t>Приложение №8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</si>
  <si>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</si>
  <si>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</si>
  <si>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</si>
  <si>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</si>
  <si>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</si>
  <si>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расходов бюджета МО "Морозовское городское  поселение" на 2010 год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</si>
  <si>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</si>
  <si>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3510500</t>
  </si>
  <si>
    <t>(бюджет)</t>
  </si>
  <si>
    <t>РОСПИСЬ расходов бюджета на 2010 год</t>
  </si>
  <si>
    <t xml:space="preserve">МУНИЦИПАЛЬНОЕ ОБРАЗОВАНИЕ </t>
  </si>
  <si>
    <t>«МОРОЗОВСКОЕ ГОРОДСКОЕ ПОСЕЛЕНИЕ</t>
  </si>
  <si>
    <t>ВСЕВОЛОЖСКОГО МУНИЦИПАЛЬНОГО РАЙОНА</t>
  </si>
  <si>
    <t>ЛЕНИНГРАДСКОЙ ОБЛАСТИ"</t>
  </si>
  <si>
    <t>АДМИНИСТРАЦИЯ</t>
  </si>
  <si>
    <t xml:space="preserve">188679, Ленинградская область, Всеволожский район, п. им. Морозова, </t>
  </si>
  <si>
    <t>ул. Спорта, дом 5, тел. (81370) 35-303, 35-230</t>
  </si>
  <si>
    <t>Единица измерения: руб.</t>
  </si>
  <si>
    <t>в том числе</t>
  </si>
  <si>
    <t>1-й квартал</t>
  </si>
  <si>
    <t>2-й квартал</t>
  </si>
  <si>
    <t>3-й квартал</t>
  </si>
  <si>
    <t>4-й квартал</t>
  </si>
  <si>
    <t>Услуги связи</t>
  </si>
  <si>
    <t>Транспортные услуги</t>
  </si>
  <si>
    <t>Услуги по содержанию имущества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</si>
  <si>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</si>
  <si>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</si>
  <si>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</si>
  <si>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>211</t>
  </si>
  <si>
    <t>212</t>
  </si>
  <si>
    <t>213</t>
  </si>
  <si>
    <t>Заработная плата</t>
  </si>
  <si>
    <t xml:space="preserve">Прочие выплаты </t>
  </si>
  <si>
    <t>Начисления на оплату труда</t>
  </si>
  <si>
    <t>Коммунальные услуги</t>
  </si>
  <si>
    <t>221</t>
  </si>
  <si>
    <t>222</t>
  </si>
  <si>
    <t>223</t>
  </si>
  <si>
    <t>225</t>
  </si>
  <si>
    <t>226</t>
  </si>
  <si>
    <t>290</t>
  </si>
  <si>
    <t>310</t>
  </si>
  <si>
    <t>340</t>
  </si>
  <si>
    <t>Обслуживание внутреннего долга</t>
  </si>
  <si>
    <t>231</t>
  </si>
  <si>
    <t>Главный распорядитель (распорядитель) бюджетных средств: Администрация муниципального образования «Морозовское городское  поселение»</t>
  </si>
  <si>
    <t>Прочие работы, услуги</t>
  </si>
  <si>
    <t>241</t>
  </si>
  <si>
    <t>242</t>
  </si>
  <si>
    <t>Безвозмездные перечисления государственным
и муниципальным организациям</t>
  </si>
  <si>
    <t>Безвозмездные перечисления организациям,
за исключением государственных и муниципальных организаций</t>
  </si>
  <si>
    <t>Мероприятия в области коммунального хозяйства</t>
  </si>
  <si>
    <t>262</t>
  </si>
  <si>
    <t>Пособия по социальной помощи населению</t>
  </si>
  <si>
    <t>251</t>
  </si>
  <si>
    <t>КОСГУ</t>
  </si>
  <si>
    <t xml:space="preserve">Перечисления другим бюджетам бюджетной системы Российской Федерации </t>
  </si>
  <si>
    <t>(целевые)</t>
  </si>
  <si>
    <t>№ п/п</t>
  </si>
  <si>
    <t>статья расходов</t>
  </si>
  <si>
    <t xml:space="preserve">Всего на год                 </t>
  </si>
  <si>
    <t>Содержание автомобильных дорог и инженерных сооружений на них в границах муниципального образования в рамках благоустройства</t>
  </si>
  <si>
    <t>Прочие мероприятия по благоустройству, озеленение</t>
  </si>
  <si>
    <t>6000500</t>
  </si>
  <si>
    <t>5053300</t>
  </si>
  <si>
    <t>МУ «ДК им. Н.М. Чекалова»</t>
  </si>
  <si>
    <t>(платные услуги)</t>
  </si>
  <si>
    <t>Наименование</t>
  </si>
  <si>
    <t>Всего на год</t>
  </si>
  <si>
    <t>4409900</t>
  </si>
  <si>
    <t>ВСЕГО</t>
  </si>
  <si>
    <t xml:space="preserve">Глава администрации МО "Морозовское городское поселение" </t>
  </si>
  <si>
    <t>_____________________</t>
  </si>
  <si>
    <t>Зарецкая О.А.</t>
  </si>
  <si>
    <t>224</t>
  </si>
  <si>
    <t>Арендная плата за пользование имуществом</t>
  </si>
  <si>
    <t>Исп. Мохнаткина А.В. Тел. (81370) 35-230</t>
  </si>
  <si>
    <t>РОСПИСЬ  расходов бюджета на 2010 год</t>
  </si>
  <si>
    <t xml:space="preserve">сумма на 2010 год </t>
  </si>
  <si>
    <t>доп. КР</t>
  </si>
  <si>
    <t>063</t>
  </si>
  <si>
    <t>062</t>
  </si>
  <si>
    <t>Доп. КР</t>
  </si>
  <si>
    <t>6000400</t>
  </si>
  <si>
    <t>Организация и содержание мест захоронения</t>
  </si>
  <si>
    <t>Субсидии юридическим лицам на финансовое обеспечение мероприятий по капитальному ремонту многоквартирных домов (за счет средств областного бюджета)</t>
  </si>
  <si>
    <t xml:space="preserve">Субсидии юридическим лицам на финансовое обеспечение мероприятий по капитальному ремонту многоквартирных домов </t>
  </si>
  <si>
    <t>0980101</t>
  </si>
  <si>
    <t>Мероприятия в области жилищного хозяйства (за счет средств областного бюджета)</t>
  </si>
  <si>
    <t>Бюджетные инвестиции в объекты капитального строительства муниципальных образований (за счет средств областного бюджета)</t>
  </si>
  <si>
    <t>0980102</t>
  </si>
  <si>
    <t>0980202</t>
  </si>
  <si>
    <t>Бюджетные инвестиции в объекты капитального строительства муниципальных образований (за счет средств местного бюджета)</t>
  </si>
  <si>
    <t>ав.+кап.+пр.уч.+газ</t>
  </si>
  <si>
    <t>12 мая 2010г.</t>
  </si>
  <si>
    <t>увеличение</t>
  </si>
  <si>
    <t>Субсидии юридическим лицам на финансовое обеспечение мероприятий по капитальному ремонту многоквартирных домов (за счет средств местного бюджета)</t>
  </si>
  <si>
    <t>проверка: должно быть увеличение</t>
  </si>
  <si>
    <t>Обеспечение мероприятий по переселению граждан из аварийного жилищного фонда (за счет средств областного бюджета)</t>
  </si>
  <si>
    <t>Обеспечение мероприятий по переселению граждан из аварийного жилищного фонда (за счет средств местного бюджета)</t>
  </si>
  <si>
    <t>Обеспечение мероприятий по переселению граждан из аварийного жилищного фонда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</si>
  <si>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</si>
  <si>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</si>
  <si>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</si>
  <si>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0200002</t>
  </si>
  <si>
    <t xml:space="preserve">Подраздел / целевая статья / вид расходов / эк. ст. </t>
  </si>
  <si>
    <t>Сумма изменений</t>
  </si>
  <si>
    <t>1 квартал</t>
  </si>
  <si>
    <t>2 квартал</t>
  </si>
  <si>
    <t>3 квартал</t>
  </si>
  <si>
    <t>4 квартал</t>
  </si>
  <si>
    <t>Итого</t>
  </si>
  <si>
    <t>Администрация МО "Морозовское городское поселение"</t>
  </si>
  <si>
    <t>Начальнику управления комитета финансов</t>
  </si>
  <si>
    <t>администрации МО "Всеволожский муниципальный район"</t>
  </si>
  <si>
    <t>Ленинградской области    А.Г. Поповой</t>
  </si>
  <si>
    <t>Ходатайство.</t>
  </si>
  <si>
    <t xml:space="preserve">Примечание. Данным Постановлением Совета депутатов МО "Морозовское городское поселение" также утверждены перераспределенные ранее ассигнования: </t>
  </si>
  <si>
    <t xml:space="preserve">Глава администрации </t>
  </si>
  <si>
    <t>О.А. Зарецкая</t>
  </si>
  <si>
    <t>Начальник ФЭС</t>
  </si>
  <si>
    <t xml:space="preserve">2) в сумме 350000 руб. с 0502/3510500/006/241 на 0107/0200002/500/290 согласно распоряжению от 02.08.2010 №122, </t>
  </si>
  <si>
    <t xml:space="preserve">1)  в сумме 218585 руб. с 0501/3500300/006/242 на 0503/6000200/300/310 согласно распоряжению от 27.05.2010 №82, </t>
  </si>
  <si>
    <t>3) в сумме 29120руб. с 0707/4310100/500/290 на 0503/6000200/500/225 согласно распоряжению от 07.09.2010 №144</t>
  </si>
  <si>
    <t>Е.И.Сидоренко</t>
  </si>
  <si>
    <t>30.09.2010г</t>
  </si>
  <si>
    <t>Просим Вашего разрешения в связи с внесением изменений в бюджет, утвержденных Постановлением Совета депутатов МО "Морозовское городское поселение"от 27.09.2010 года № 30, в  соответствии с приложениями 7,8 (прилагаются), перераспределить бюджетные ассигнования по статьям расходов следующим образом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</si>
  <si>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</si>
  <si>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</si>
  <si>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Просим Вашего разрешения в связи с внесением изменений в бюджет, утвержденных Постановлением Совета депутатов МО "Морозовское городское поселение"</t>
  </si>
  <si>
    <t>от 12.05.2010 года, в связи с увеличением доходов на сумму 107 244 890 (сто семь миллионов двести сорок четыре тысячи восемьсот девяносто) рублей</t>
  </si>
  <si>
    <t xml:space="preserve">за счет выделения субсидий из Фонда содействия реформированию ЖКХ и областного бюджета на переселение граждан из аварийного жилищного фонда, </t>
  </si>
  <si>
    <t xml:space="preserve">капитальный ремонт жилищного фонда, установку приборов учета и на строительство объектов газификации в соответствии с приложениями 3,7,8 (прилагаются), </t>
  </si>
  <si>
    <t>перераспределить бюджетные ассигнования по статьям расходов следующим образом</t>
  </si>
  <si>
    <t>0501/0980102/500/ 310</t>
  </si>
  <si>
    <t>Жилищное хрзяйство /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реформирования ЖКХ / Вып. Функций органами местн.самоуправления - Ув-е ст-ти осн.средств</t>
  </si>
  <si>
    <t>0501/0980202/500/ 310</t>
  </si>
  <si>
    <t>Обеспечение мероприятий по переселению граждан из аварийного жилищного фонда (за счет средств областного бюджета) / Вып. Функций органами местн.самоуправления - Ув-е ст-ти осн.средств</t>
  </si>
  <si>
    <t>0501/0980101/006/ 242</t>
  </si>
  <si>
    <t>Субсидии юридическим лицам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жилищно-коммунального хозяйства / Субсидии юридическим лицам</t>
  </si>
  <si>
    <t>0501/0980201/006/ 242</t>
  </si>
  <si>
    <t>Субсидии юридическим лицам на финансовое обеспечение мероприятий по капитальному ремонту многоквартирных домов (за счет средств областного бюджета) / Субсидии юридическим лицам</t>
  </si>
  <si>
    <t>0501/3500300/006/ 242</t>
  </si>
  <si>
    <t>Мероприятия в области жилищного хозяйства (за счет средств областного бюджета) - Субсидии юридическим лицам</t>
  </si>
  <si>
    <t>0114/0920300/500/ 226</t>
  </si>
  <si>
    <t>Другие общегосударственные вопросы / Выполнение других обязательств государства / Прочие работы, услуги</t>
  </si>
  <si>
    <t>0114/0920300/500/ 225</t>
  </si>
  <si>
    <t>Другие общегосударственные вопросы / Выполнение других обязательств государства / Услуги по содержанию имущества</t>
  </si>
  <si>
    <t>0104/0020400/500/ 226</t>
  </si>
  <si>
    <t>Функционирование местных администраций / Центральный аппарат / Прочие работы, услуги</t>
  </si>
  <si>
    <t>Жилищное хозяйство / Субсидии юридическим лицам на финансовое обеспечение мероприятий по капитальному ремонту многоквартирных домов (за счет средств местн.бюджета) / Субсидии юридическим лицам</t>
  </si>
  <si>
    <t>0412/3380000/500/226</t>
  </si>
  <si>
    <t>Другие вопросы в области национальной экономики - Мероприятия в области строительства, архитектуры и градостроительства - Прочие работы, услуги</t>
  </si>
  <si>
    <t>0502/1020102/003/310</t>
  </si>
  <si>
    <t>Коммунальное хозяйство - Бюджетные инвестиции в объекты кап.строительства собственности мун.образований - Бюджетные инвестиции</t>
  </si>
  <si>
    <t>0501/1020102/003/310</t>
  </si>
  <si>
    <t>Жилищное хозяйство / Бюджетные инвестиции в объекты кап.строительства собственности мун.образований / Бюджетные инвестиции</t>
  </si>
  <si>
    <t>0501/0980202/500/310</t>
  </si>
  <si>
    <t>Жилищное хозяйство / Обеспечение мероприяитй по переселению граждан из аварийного жилищного фонда (за счет средств местного бюджета) / Вып.функций органами местн.самоуправления - Ув-е ст-ти осн.средств</t>
  </si>
  <si>
    <t>ИТОГО</t>
  </si>
  <si>
    <r>
      <t xml:space="preserve">1) в сумме </t>
    </r>
    <r>
      <rPr>
        <b/>
        <sz val="10"/>
        <rFont val="Times New Roman"/>
        <family val="1"/>
      </rPr>
      <t xml:space="preserve">2500000 руб. </t>
    </r>
    <r>
      <rPr>
        <sz val="10"/>
        <rFont val="Times New Roman"/>
        <family val="1"/>
      </rPr>
      <t xml:space="preserve">по 0502/1020102/003/310 согласно распоряжению от 04.05.2010 №63, </t>
    </r>
  </si>
  <si>
    <t xml:space="preserve">2) в сумме 1500000 руб. по 0503 с ц.ст. 6000500/500/225 на ц.ст. 600400/500/225 согласно распоряжению от 28.04.2010 №57, </t>
  </si>
  <si>
    <t>3) в сумме 470000 руб. на 1003/5053300/013/262 с 0112/0700500/013/290 (426500 руб.) и с 0114/0920300/500/290 (43500 руб.) согласно распоряжению от 18.03.2010 №36</t>
  </si>
  <si>
    <t>А.В. Мохнаткина</t>
  </si>
  <si>
    <t>0104/0020400/500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</si>
  <si>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администраций/Центральный аппарат/Выполнение функций органами местного самоуправления</t>
  </si>
  <si>
    <t>Другие общегосударственные вопросы/Выполнение других обязательств государства/Выполнение функций органами местного самоуправления</t>
  </si>
  <si>
    <t>0114/0920300/500/226</t>
  </si>
  <si>
    <t>0114/0920300/500/290</t>
  </si>
  <si>
    <t>0501/3500200/006</t>
  </si>
  <si>
    <t>0501/3500300/006</t>
  </si>
  <si>
    <t>0502/3510500/006</t>
  </si>
  <si>
    <t>Жилищное хозяйство/Капитальный ремонт государственного жилищного фонда субъектов Российской Федерации и муниципального жилищного фонда/Субсидии юридическим лицам</t>
  </si>
  <si>
    <t>Жилищное хозяйство/Мероприятия в области жилищного хозяйства (за счет средств местного бюджета)/Субсидии юридическим лицам</t>
  </si>
  <si>
    <t>Коммунальное хозяйство/Субсидии на возмещение муниципальным предприятиям убытков, связанных с оказанием банных услуг по тарифам, не обеспечивающим возмещение издержек/Субсидии юридическим лицам</t>
  </si>
  <si>
    <t>0503/6000100/500</t>
  </si>
  <si>
    <t>0503/6000200/500</t>
  </si>
  <si>
    <t>1003/5053300/013/262</t>
  </si>
  <si>
    <t>Благоустройство /Уличное освещение / Выполнение функций органами местного самоуправления</t>
  </si>
  <si>
    <t>Благоустройство /Строительство и содержание автомобильных дорог и инженерных сооружений на них в границах муниципального образования в рамках благоустройства / Выполнение функций органами местного самоуправления</t>
  </si>
  <si>
    <t>Социальная политика / Мероприятия в области социальной политики/Прочие расходы</t>
  </si>
  <si>
    <t>5228100</t>
  </si>
  <si>
    <t>5210126</t>
  </si>
  <si>
    <t>ДЦП "Демографическое развитие ЛО на 2010 - 2011гг"</t>
  </si>
  <si>
    <t>Обеспечение мероприятий по переселению граждан из аварийного жилищного фонда за счет средств областного бюджета</t>
  </si>
  <si>
    <t>от 27 декабря 2010 года № 49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</si>
</sst>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  <numFmt numFmtId="171" formatCode="0.00000"/>
    <numFmt numFmtId="172" formatCode="0.000000"/>
    <numFmt numFmtId="173" formatCode="#,##0.0"/>
    <numFmt numFmtId="174" formatCode="#,##0.000"/>
    <numFmt numFmtId="175" formatCode="#,##0.0000"/>
    <numFmt numFmtId="176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name val="Times New Roman"/>
      <family val="1"/>
    </font>
    <font>
      <sz val="9.5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b/>
      <sz val="7"/>
      <name val="Times New Roman"/>
      <family val="1"/>
    </font>
    <font>
      <sz val="11.5"/>
      <name val="Times New Roman"/>
      <family val="1"/>
    </font>
    <font>
      <b/>
      <sz val="6"/>
      <name val="Times New Roman"/>
      <family val="1"/>
    </font>
    <font>
      <sz val="5"/>
      <name val="Times New Roman"/>
      <family val="1"/>
    </font>
    <font>
      <sz val="6"/>
      <name val="Arial Cyr"/>
      <family val="0"/>
    </font>
    <font>
      <sz val="10.5"/>
      <name val="Times New Roman"/>
      <family val="1"/>
    </font>
    <font>
      <sz val="10.5"/>
      <name val="Arial Cyr"/>
      <family val="0"/>
    </font>
    <font>
      <sz val="7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49" fontId="0" fillId="0" borderId="0" xfId="0" applyNumberFormat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3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170" fontId="3" fillId="0" borderId="1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170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6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15" fillId="0" borderId="1" xfId="0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 wrapText="1"/>
    </xf>
    <xf numFmtId="171" fontId="15" fillId="0" borderId="0" xfId="0" applyNumberFormat="1" applyFont="1" applyFill="1" applyBorder="1" applyAlignment="1">
      <alignment horizontal="right"/>
    </xf>
    <xf numFmtId="171" fontId="15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4" fontId="15" fillId="0" borderId="4" xfId="0" applyNumberFormat="1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wrapText="1"/>
    </xf>
    <xf numFmtId="171" fontId="15" fillId="0" borderId="0" xfId="0" applyNumberFormat="1" applyFont="1" applyFill="1" applyBorder="1" applyAlignment="1">
      <alignment/>
    </xf>
    <xf numFmtId="49" fontId="15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/>
    </xf>
    <xf numFmtId="49" fontId="17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/>
    </xf>
    <xf numFmtId="2" fontId="15" fillId="0" borderId="1" xfId="0" applyNumberFormat="1" applyFont="1" applyFill="1" applyBorder="1" applyAlignment="1">
      <alignment horizontal="right"/>
    </xf>
    <xf numFmtId="171" fontId="13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1" xfId="0" applyFont="1" applyBorder="1" applyAlignment="1">
      <alignment vertical="top" wrapText="1"/>
    </xf>
    <xf numFmtId="49" fontId="23" fillId="0" borderId="1" xfId="0" applyNumberFormat="1" applyFont="1" applyBorder="1" applyAlignment="1">
      <alignment horizontal="center" vertical="top"/>
    </xf>
    <xf numFmtId="49" fontId="21" fillId="0" borderId="1" xfId="0" applyNumberFormat="1" applyFont="1" applyBorder="1" applyAlignment="1">
      <alignment vertical="top"/>
    </xf>
    <xf numFmtId="49" fontId="23" fillId="0" borderId="1" xfId="0" applyNumberFormat="1" applyFont="1" applyBorder="1" applyAlignment="1">
      <alignment horizontal="center" wrapText="1"/>
    </xf>
    <xf numFmtId="4" fontId="21" fillId="0" borderId="1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/>
    </xf>
    <xf numFmtId="49" fontId="24" fillId="0" borderId="1" xfId="0" applyNumberFormat="1" applyFont="1" applyBorder="1" applyAlignment="1">
      <alignment horizontal="center" wrapText="1"/>
    </xf>
    <xf numFmtId="4" fontId="23" fillId="0" borderId="1" xfId="0" applyNumberFormat="1" applyFont="1" applyBorder="1" applyAlignment="1">
      <alignment horizontal="right" wrapText="1"/>
    </xf>
    <xf numFmtId="0" fontId="24" fillId="0" borderId="1" xfId="0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top"/>
    </xf>
    <xf numFmtId="4" fontId="24" fillId="0" borderId="1" xfId="0" applyNumberFormat="1" applyFont="1" applyBorder="1" applyAlignment="1">
      <alignment horizontal="right" wrapText="1"/>
    </xf>
    <xf numFmtId="0" fontId="24" fillId="0" borderId="1" xfId="0" applyFont="1" applyBorder="1" applyAlignment="1">
      <alignment wrapText="1"/>
    </xf>
    <xf numFmtId="49" fontId="2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9" fontId="24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24" fillId="0" borderId="0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/>
    </xf>
    <xf numFmtId="4" fontId="24" fillId="0" borderId="0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4" xfId="0" applyFont="1" applyBorder="1" applyAlignment="1">
      <alignment vertical="top" wrapText="1"/>
    </xf>
    <xf numFmtId="0" fontId="18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wrapText="1"/>
    </xf>
    <xf numFmtId="0" fontId="25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4" fontId="13" fillId="3" borderId="0" xfId="0" applyNumberFormat="1" applyFont="1" applyFill="1" applyAlignment="1">
      <alignment/>
    </xf>
    <xf numFmtId="4" fontId="16" fillId="3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" fontId="15" fillId="3" borderId="4" xfId="0" applyNumberFormat="1" applyFont="1" applyFill="1" applyBorder="1" applyAlignment="1">
      <alignment horizontal="center"/>
    </xf>
    <xf numFmtId="4" fontId="15" fillId="3" borderId="3" xfId="0" applyNumberFormat="1" applyFont="1" applyFill="1" applyBorder="1" applyAlignment="1">
      <alignment horizontal="center"/>
    </xf>
    <xf numFmtId="4" fontId="21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4" fontId="23" fillId="3" borderId="1" xfId="0" applyNumberFormat="1" applyFont="1" applyFill="1" applyBorder="1" applyAlignment="1">
      <alignment horizontal="right"/>
    </xf>
    <xf numFmtId="4" fontId="13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 horizontal="right"/>
    </xf>
    <xf numFmtId="4" fontId="15" fillId="3" borderId="1" xfId="0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/>
    </xf>
    <xf numFmtId="49" fontId="18" fillId="0" borderId="1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/>
    </xf>
    <xf numFmtId="49" fontId="28" fillId="0" borderId="2" xfId="0" applyNumberFormat="1" applyFont="1" applyBorder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49" fontId="28" fillId="0" borderId="1" xfId="0" applyNumberFormat="1" applyFont="1" applyBorder="1" applyAlignment="1">
      <alignment horizontal="center" wrapText="1"/>
    </xf>
    <xf numFmtId="49" fontId="28" fillId="0" borderId="4" xfId="0" applyNumberFormat="1" applyFont="1" applyBorder="1" applyAlignment="1">
      <alignment horizontal="center"/>
    </xf>
    <xf numFmtId="49" fontId="28" fillId="0" borderId="1" xfId="0" applyNumberFormat="1" applyFont="1" applyFill="1" applyBorder="1" applyAlignment="1">
      <alignment horizontal="center"/>
    </xf>
    <xf numFmtId="49" fontId="28" fillId="0" borderId="4" xfId="0" applyNumberFormat="1" applyFont="1" applyFill="1" applyBorder="1" applyAlignment="1">
      <alignment horizontal="center"/>
    </xf>
    <xf numFmtId="49" fontId="28" fillId="0" borderId="1" xfId="0" applyNumberFormat="1" applyFont="1" applyBorder="1" applyAlignment="1">
      <alignment/>
    </xf>
    <xf numFmtId="49" fontId="18" fillId="0" borderId="1" xfId="0" applyNumberFormat="1" applyFont="1" applyBorder="1" applyAlignment="1">
      <alignment/>
    </xf>
    <xf numFmtId="49" fontId="18" fillId="0" borderId="1" xfId="0" applyNumberFormat="1" applyFont="1" applyBorder="1" applyAlignment="1">
      <alignment horizontal="center"/>
    </xf>
    <xf numFmtId="49" fontId="28" fillId="0" borderId="3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0" fontId="29" fillId="0" borderId="0" xfId="0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49" fontId="29" fillId="0" borderId="1" xfId="0" applyNumberFormat="1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49" fontId="30" fillId="0" borderId="1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49" fontId="32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 wrapText="1"/>
    </xf>
    <xf numFmtId="49" fontId="34" fillId="0" borderId="1" xfId="0" applyNumberFormat="1" applyFont="1" applyBorder="1" applyAlignment="1">
      <alignment horizontal="center" wrapText="1"/>
    </xf>
    <xf numFmtId="0" fontId="36" fillId="0" borderId="1" xfId="0" applyFont="1" applyBorder="1" applyAlignment="1">
      <alignment wrapText="1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wrapText="1"/>
    </xf>
    <xf numFmtId="4" fontId="28" fillId="0" borderId="0" xfId="0" applyNumberFormat="1" applyFont="1" applyFill="1" applyAlignment="1">
      <alignment horizontal="right"/>
    </xf>
    <xf numFmtId="4" fontId="32" fillId="3" borderId="4" xfId="0" applyNumberFormat="1" applyFont="1" applyFill="1" applyBorder="1" applyAlignment="1">
      <alignment horizontal="center"/>
    </xf>
    <xf numFmtId="4" fontId="26" fillId="3" borderId="4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21" fillId="3" borderId="1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6" fillId="3" borderId="1" xfId="0" applyNumberFormat="1" applyFont="1" applyFill="1" applyBorder="1" applyAlignment="1">
      <alignment horizontal="center"/>
    </xf>
    <xf numFmtId="4" fontId="26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17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3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40" fillId="0" borderId="1" xfId="0" applyNumberFormat="1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4" fontId="15" fillId="0" borderId="1" xfId="0" applyNumberFormat="1" applyFont="1" applyBorder="1" applyAlignment="1">
      <alignment vertical="center" wrapText="1"/>
    </xf>
    <xf numFmtId="43" fontId="15" fillId="0" borderId="1" xfId="0" applyNumberFormat="1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vertical="center" wrapText="1"/>
    </xf>
    <xf numFmtId="43" fontId="15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4" fontId="0" fillId="0" borderId="1" xfId="0" applyNumberForma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170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38" fillId="0" borderId="2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4" fontId="36" fillId="0" borderId="1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4" fontId="36" fillId="0" borderId="1" xfId="0" applyNumberFormat="1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vertical="center" wrapText="1"/>
    </xf>
    <xf numFmtId="49" fontId="40" fillId="0" borderId="2" xfId="0" applyNumberFormat="1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173" fontId="15" fillId="0" borderId="1" xfId="0" applyNumberFormat="1" applyFont="1" applyBorder="1" applyAlignment="1">
      <alignment vertical="center" wrapText="1"/>
    </xf>
    <xf numFmtId="0" fontId="42" fillId="0" borderId="1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4" fontId="28" fillId="0" borderId="1" xfId="0" applyNumberFormat="1" applyFont="1" applyFill="1" applyBorder="1" applyAlignment="1">
      <alignment vertical="center" wrapText="1"/>
    </xf>
    <xf numFmtId="4" fontId="36" fillId="0" borderId="5" xfId="0" applyNumberFormat="1" applyFont="1" applyFill="1" applyBorder="1" applyAlignment="1">
      <alignment vertical="center" wrapText="1"/>
    </xf>
    <xf numFmtId="4" fontId="25" fillId="0" borderId="5" xfId="0" applyNumberFormat="1" applyFont="1" applyFill="1" applyBorder="1" applyAlignment="1">
      <alignment vertical="center" wrapText="1"/>
    </xf>
    <xf numFmtId="49" fontId="15" fillId="0" borderId="3" xfId="0" applyNumberFormat="1" applyFont="1" applyFill="1" applyBorder="1" applyAlignment="1">
      <alignment vertical="center" wrapText="1"/>
    </xf>
    <xf numFmtId="4" fontId="15" fillId="0" borderId="3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28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49" fontId="15" fillId="0" borderId="6" xfId="0" applyNumberFormat="1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38" fillId="0" borderId="1" xfId="0" applyFont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49" fontId="15" fillId="0" borderId="7" xfId="0" applyNumberFormat="1" applyFont="1" applyBorder="1" applyAlignment="1">
      <alignment vertical="top" wrapText="1"/>
    </xf>
    <xf numFmtId="49" fontId="28" fillId="0" borderId="6" xfId="0" applyNumberFormat="1" applyFont="1" applyFill="1" applyBorder="1" applyAlignment="1">
      <alignment horizontal="left" vertical="top" wrapText="1"/>
    </xf>
    <xf numFmtId="49" fontId="28" fillId="0" borderId="1" xfId="0" applyNumberFormat="1" applyFont="1" applyFill="1" applyBorder="1" applyAlignment="1">
      <alignment horizontal="left" vertical="top" wrapText="1"/>
    </xf>
    <xf numFmtId="0" fontId="28" fillId="0" borderId="7" xfId="0" applyFont="1" applyBorder="1" applyAlignment="1">
      <alignment vertical="top" wrapText="1"/>
    </xf>
    <xf numFmtId="49" fontId="15" fillId="0" borderId="3" xfId="0" applyNumberFormat="1" applyFont="1" applyBorder="1" applyAlignment="1">
      <alignment vertical="top" wrapText="1"/>
    </xf>
    <xf numFmtId="0" fontId="28" fillId="0" borderId="3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28" fillId="0" borderId="6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16" fillId="0" borderId="8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35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0" fontId="21" fillId="0" borderId="1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49" fontId="26" fillId="0" borderId="3" xfId="0" applyNumberFormat="1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wrapText="1"/>
    </xf>
    <xf numFmtId="4" fontId="26" fillId="3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37" fillId="0" borderId="3" xfId="0" applyNumberFormat="1" applyFont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49" fontId="35" fillId="0" borderId="2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49" fontId="31" fillId="0" borderId="3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workbookViewId="0" topLeftCell="A125">
      <selection activeCell="K7" sqref="K7"/>
    </sheetView>
  </sheetViews>
  <sheetFormatPr defaultColWidth="9.00390625" defaultRowHeight="12.75"/>
  <cols>
    <col min="1" max="1" width="4.625" style="0" customWidth="1"/>
    <col min="2" max="2" width="75.625" style="0" customWidth="1"/>
    <col min="3" max="3" width="5.75390625" style="11" customWidth="1"/>
    <col min="4" max="4" width="9.125" style="11" customWidth="1"/>
    <col min="5" max="5" width="10.00390625" style="11" customWidth="1"/>
    <col min="6" max="6" width="9.125" style="11" customWidth="1"/>
    <col min="7" max="7" width="13.25390625" style="30" customWidth="1"/>
  </cols>
  <sheetData>
    <row r="1" spans="6:7" ht="15" customHeight="1">
      <c r="F1" s="14"/>
      <c r="G1" s="29" t="s">
        <v>133</v>
      </c>
    </row>
    <row r="2" spans="6:7" ht="13.5" customHeight="1">
      <c r="F2" s="14"/>
      <c r="G2" s="29" t="s">
        <v>111</v>
      </c>
    </row>
    <row r="3" spans="6:7" ht="13.5" customHeight="1">
      <c r="F3" s="14"/>
      <c r="G3" s="29" t="s">
        <v>112</v>
      </c>
    </row>
    <row r="4" spans="4:7" ht="12.75" customHeight="1">
      <c r="D4" s="304" t="s">
        <v>320</v>
      </c>
      <c r="E4" s="304"/>
      <c r="F4" s="304"/>
      <c r="G4" s="304"/>
    </row>
    <row r="5" spans="2:4" ht="15" customHeight="1">
      <c r="B5" s="15" t="s">
        <v>113</v>
      </c>
      <c r="D5" s="16"/>
    </row>
    <row r="6" spans="2:4" ht="15" customHeight="1">
      <c r="B6" s="28" t="s">
        <v>139</v>
      </c>
      <c r="D6" s="16"/>
    </row>
    <row r="7" spans="1:7" ht="27" customHeight="1">
      <c r="A7" s="13" t="s">
        <v>0</v>
      </c>
      <c r="B7" s="270" t="s">
        <v>2</v>
      </c>
      <c r="C7" s="271"/>
      <c r="D7" s="268" t="s">
        <v>3</v>
      </c>
      <c r="E7" s="268" t="s">
        <v>4</v>
      </c>
      <c r="F7" s="268" t="s">
        <v>5</v>
      </c>
      <c r="G7" s="269" t="s">
        <v>77</v>
      </c>
    </row>
    <row r="8" spans="1:7" ht="13.5" customHeight="1">
      <c r="A8" s="12" t="s">
        <v>1</v>
      </c>
      <c r="B8" s="270"/>
      <c r="C8" s="271"/>
      <c r="D8" s="268"/>
      <c r="E8" s="268"/>
      <c r="F8" s="268"/>
      <c r="G8" s="269"/>
    </row>
    <row r="9" spans="1:8" ht="30" customHeight="1">
      <c r="A9" s="12"/>
      <c r="B9" s="2" t="s">
        <v>6</v>
      </c>
      <c r="C9" s="190" t="s">
        <v>85</v>
      </c>
      <c r="D9" s="7"/>
      <c r="E9" s="7"/>
      <c r="F9" s="7"/>
      <c r="G9" s="25">
        <f>G148</f>
        <v>192727.2</v>
      </c>
      <c r="H9" s="30"/>
    </row>
    <row r="10" spans="1:7" ht="15.75">
      <c r="A10" s="3"/>
      <c r="B10" s="2" t="s">
        <v>7</v>
      </c>
      <c r="C10" s="6"/>
      <c r="D10" s="7" t="s">
        <v>82</v>
      </c>
      <c r="E10" s="7"/>
      <c r="F10" s="7"/>
      <c r="G10" s="24">
        <f>G12+G20+G35+G40+G31+G28</f>
        <v>18101.7</v>
      </c>
    </row>
    <row r="11" spans="1:7" ht="15.75">
      <c r="A11" s="3" t="s">
        <v>8</v>
      </c>
      <c r="B11" s="2" t="s">
        <v>9</v>
      </c>
      <c r="C11" s="6" t="s">
        <v>85</v>
      </c>
      <c r="D11" s="7"/>
      <c r="E11" s="7"/>
      <c r="F11" s="7"/>
      <c r="G11" s="25">
        <f>G12</f>
        <v>2100</v>
      </c>
    </row>
    <row r="12" spans="1:7" ht="15.75" customHeight="1">
      <c r="A12" s="3"/>
      <c r="B12" s="174" t="s">
        <v>10</v>
      </c>
      <c r="C12" s="6" t="s">
        <v>85</v>
      </c>
      <c r="D12" s="7" t="s">
        <v>83</v>
      </c>
      <c r="E12" s="7"/>
      <c r="F12" s="7"/>
      <c r="G12" s="25">
        <f>G13</f>
        <v>2100</v>
      </c>
    </row>
    <row r="13" spans="1:7" ht="15.75">
      <c r="A13" s="3"/>
      <c r="B13" s="2" t="s">
        <v>11</v>
      </c>
      <c r="C13" s="6" t="s">
        <v>85</v>
      </c>
      <c r="D13" s="7" t="s">
        <v>83</v>
      </c>
      <c r="E13" s="7" t="s">
        <v>80</v>
      </c>
      <c r="F13" s="7"/>
      <c r="G13" s="25">
        <f>G16+G18</f>
        <v>2100</v>
      </c>
    </row>
    <row r="14" spans="1:7" ht="15.75">
      <c r="A14" s="3"/>
      <c r="B14" s="2" t="s">
        <v>12</v>
      </c>
      <c r="C14" s="6" t="s">
        <v>85</v>
      </c>
      <c r="D14" s="7" t="s">
        <v>83</v>
      </c>
      <c r="E14" s="7" t="s">
        <v>78</v>
      </c>
      <c r="F14" s="7"/>
      <c r="G14" s="25">
        <f>G15</f>
        <v>1326.39758</v>
      </c>
    </row>
    <row r="15" spans="1:7" ht="15.75">
      <c r="A15" s="3"/>
      <c r="B15" s="2" t="s">
        <v>13</v>
      </c>
      <c r="C15" s="6" t="s">
        <v>85</v>
      </c>
      <c r="D15" s="7" t="s">
        <v>83</v>
      </c>
      <c r="E15" s="7" t="s">
        <v>78</v>
      </c>
      <c r="F15" s="7"/>
      <c r="G15" s="25">
        <f>G16</f>
        <v>1326.39758</v>
      </c>
    </row>
    <row r="16" spans="1:7" ht="15.75">
      <c r="A16" s="3"/>
      <c r="B16" s="2" t="s">
        <v>14</v>
      </c>
      <c r="C16" s="6" t="s">
        <v>85</v>
      </c>
      <c r="D16" s="7" t="s">
        <v>83</v>
      </c>
      <c r="E16" s="7" t="s">
        <v>78</v>
      </c>
      <c r="F16" s="7">
        <v>500</v>
      </c>
      <c r="G16" s="25">
        <f>'Бюджетная роспись на 27.09.2010'!I20/1000</f>
        <v>1326.39758</v>
      </c>
    </row>
    <row r="17" spans="1:7" ht="15.75">
      <c r="A17" s="3"/>
      <c r="B17" s="2" t="s">
        <v>15</v>
      </c>
      <c r="C17" s="6" t="s">
        <v>85</v>
      </c>
      <c r="D17" s="7" t="s">
        <v>83</v>
      </c>
      <c r="E17" s="7" t="s">
        <v>79</v>
      </c>
      <c r="F17" s="7"/>
      <c r="G17" s="25">
        <v>773.6</v>
      </c>
    </row>
    <row r="18" spans="1:7" ht="15.75">
      <c r="A18" s="3"/>
      <c r="B18" s="2" t="s">
        <v>14</v>
      </c>
      <c r="C18" s="6" t="s">
        <v>85</v>
      </c>
      <c r="D18" s="7" t="s">
        <v>83</v>
      </c>
      <c r="E18" s="7" t="s">
        <v>79</v>
      </c>
      <c r="F18" s="7">
        <v>500</v>
      </c>
      <c r="G18" s="25">
        <f>'Бюджетная роспись на 27.09.2010'!I29/1000</f>
        <v>773.6024199999999</v>
      </c>
    </row>
    <row r="19" spans="1:7" ht="27" customHeight="1">
      <c r="A19" s="3" t="s">
        <v>16</v>
      </c>
      <c r="B19" s="2" t="s">
        <v>17</v>
      </c>
      <c r="C19" s="190" t="s">
        <v>85</v>
      </c>
      <c r="D19" s="7"/>
      <c r="E19" s="7"/>
      <c r="F19" s="7"/>
      <c r="G19" s="25">
        <f>G20</f>
        <v>10769.6</v>
      </c>
    </row>
    <row r="20" spans="1:7" ht="44.25" customHeight="1">
      <c r="A20" s="3"/>
      <c r="B20" s="2" t="s">
        <v>18</v>
      </c>
      <c r="C20" s="190" t="s">
        <v>85</v>
      </c>
      <c r="D20" s="7" t="s">
        <v>84</v>
      </c>
      <c r="E20" s="7"/>
      <c r="F20" s="7"/>
      <c r="G20" s="25">
        <f>G21</f>
        <v>10769.6</v>
      </c>
    </row>
    <row r="21" spans="1:7" ht="15.75">
      <c r="A21" s="3"/>
      <c r="B21" s="2" t="s">
        <v>11</v>
      </c>
      <c r="C21" s="6" t="s">
        <v>85</v>
      </c>
      <c r="D21" s="7" t="s">
        <v>84</v>
      </c>
      <c r="E21" s="7" t="s">
        <v>80</v>
      </c>
      <c r="F21" s="7"/>
      <c r="G21" s="25">
        <f>G24+G27</f>
        <v>10769.6</v>
      </c>
    </row>
    <row r="22" spans="1:7" ht="15.75">
      <c r="A22" s="3"/>
      <c r="B22" s="2" t="s">
        <v>12</v>
      </c>
      <c r="C22" s="6" t="s">
        <v>85</v>
      </c>
      <c r="D22" s="7" t="s">
        <v>84</v>
      </c>
      <c r="E22" s="7" t="s">
        <v>78</v>
      </c>
      <c r="F22" s="7"/>
      <c r="G22" s="25">
        <f>G23</f>
        <v>9677.6</v>
      </c>
    </row>
    <row r="23" spans="1:7" ht="15.75">
      <c r="A23" s="3"/>
      <c r="B23" s="2" t="s">
        <v>13</v>
      </c>
      <c r="C23" s="6" t="s">
        <v>85</v>
      </c>
      <c r="D23" s="7" t="s">
        <v>84</v>
      </c>
      <c r="E23" s="7" t="s">
        <v>78</v>
      </c>
      <c r="F23" s="7"/>
      <c r="G23" s="25">
        <f>G24</f>
        <v>9677.6</v>
      </c>
    </row>
    <row r="24" spans="1:7" ht="15.75">
      <c r="A24" s="3"/>
      <c r="B24" s="2" t="s">
        <v>14</v>
      </c>
      <c r="C24" s="6" t="s">
        <v>85</v>
      </c>
      <c r="D24" s="7" t="s">
        <v>84</v>
      </c>
      <c r="E24" s="7" t="s">
        <v>78</v>
      </c>
      <c r="F24" s="7">
        <v>500</v>
      </c>
      <c r="G24" s="25">
        <f>11544.4-1866.8</f>
        <v>9677.6</v>
      </c>
    </row>
    <row r="25" spans="1:7" ht="15.75">
      <c r="A25" s="3"/>
      <c r="B25" s="2" t="s">
        <v>11</v>
      </c>
      <c r="C25" s="6" t="s">
        <v>85</v>
      </c>
      <c r="D25" s="7" t="s">
        <v>84</v>
      </c>
      <c r="E25" s="7" t="s">
        <v>81</v>
      </c>
      <c r="F25" s="7"/>
      <c r="G25" s="25">
        <f>G26</f>
        <v>1092</v>
      </c>
    </row>
    <row r="26" spans="1:7" ht="15.75">
      <c r="A26" s="3"/>
      <c r="B26" s="2" t="s">
        <v>19</v>
      </c>
      <c r="C26" s="6" t="s">
        <v>85</v>
      </c>
      <c r="D26" s="7" t="s">
        <v>84</v>
      </c>
      <c r="E26" s="7" t="s">
        <v>81</v>
      </c>
      <c r="F26" s="7"/>
      <c r="G26" s="25">
        <f>G27</f>
        <v>1092</v>
      </c>
    </row>
    <row r="27" spans="1:7" ht="15.75">
      <c r="A27" s="3"/>
      <c r="B27" s="2" t="s">
        <v>14</v>
      </c>
      <c r="C27" s="6" t="s">
        <v>85</v>
      </c>
      <c r="D27" s="7" t="s">
        <v>84</v>
      </c>
      <c r="E27" s="7" t="s">
        <v>81</v>
      </c>
      <c r="F27" s="7">
        <v>500</v>
      </c>
      <c r="G27" s="25">
        <f>'Бюджетная роспись на 27.09.2010'!I52/1000</f>
        <v>1092</v>
      </c>
    </row>
    <row r="28" spans="1:7" ht="15.75">
      <c r="A28" s="3"/>
      <c r="B28" s="2" t="s">
        <v>236</v>
      </c>
      <c r="C28" s="6" t="s">
        <v>85</v>
      </c>
      <c r="D28" s="7" t="s">
        <v>238</v>
      </c>
      <c r="E28" s="187"/>
      <c r="F28" s="187"/>
      <c r="G28" s="25">
        <v>350</v>
      </c>
    </row>
    <row r="29" spans="1:7" ht="31.5">
      <c r="A29" s="3"/>
      <c r="B29" s="188" t="s">
        <v>237</v>
      </c>
      <c r="C29" s="190" t="s">
        <v>85</v>
      </c>
      <c r="D29" s="7" t="s">
        <v>238</v>
      </c>
      <c r="E29" s="7" t="s">
        <v>239</v>
      </c>
      <c r="F29" s="187"/>
      <c r="G29" s="25">
        <v>350</v>
      </c>
    </row>
    <row r="30" spans="1:7" ht="15.75">
      <c r="A30" s="3"/>
      <c r="B30" s="188" t="s">
        <v>14</v>
      </c>
      <c r="C30" s="6" t="s">
        <v>85</v>
      </c>
      <c r="D30" s="7" t="s">
        <v>238</v>
      </c>
      <c r="E30" s="7" t="s">
        <v>239</v>
      </c>
      <c r="F30" s="187">
        <v>500</v>
      </c>
      <c r="G30" s="25">
        <v>350</v>
      </c>
    </row>
    <row r="31" spans="1:7" ht="15.75">
      <c r="A31" s="3"/>
      <c r="B31" s="2" t="s">
        <v>134</v>
      </c>
      <c r="C31" s="6" t="s">
        <v>85</v>
      </c>
      <c r="D31" s="7" t="s">
        <v>127</v>
      </c>
      <c r="E31" s="7"/>
      <c r="F31" s="7"/>
      <c r="G31" s="25">
        <f>G32</f>
        <v>325</v>
      </c>
    </row>
    <row r="32" spans="1:7" ht="15.75">
      <c r="A32" s="3"/>
      <c r="B32" s="2" t="s">
        <v>135</v>
      </c>
      <c r="C32" s="6" t="s">
        <v>85</v>
      </c>
      <c r="D32" s="7" t="s">
        <v>127</v>
      </c>
      <c r="E32" s="7" t="s">
        <v>136</v>
      </c>
      <c r="F32" s="7"/>
      <c r="G32" s="25">
        <f>G34</f>
        <v>325</v>
      </c>
    </row>
    <row r="33" spans="1:7" ht="15.75">
      <c r="A33" s="3"/>
      <c r="B33" s="2" t="s">
        <v>137</v>
      </c>
      <c r="C33" s="6" t="s">
        <v>85</v>
      </c>
      <c r="D33" s="7" t="s">
        <v>127</v>
      </c>
      <c r="E33" s="7" t="s">
        <v>138</v>
      </c>
      <c r="F33" s="7"/>
      <c r="G33" s="25">
        <f>G34</f>
        <v>325</v>
      </c>
    </row>
    <row r="34" spans="1:7" ht="15.75">
      <c r="A34" s="3"/>
      <c r="B34" s="2" t="s">
        <v>14</v>
      </c>
      <c r="C34" s="6" t="s">
        <v>85</v>
      </c>
      <c r="D34" s="7" t="s">
        <v>127</v>
      </c>
      <c r="E34" s="7" t="s">
        <v>138</v>
      </c>
      <c r="F34" s="7" t="s">
        <v>110</v>
      </c>
      <c r="G34" s="25">
        <v>325</v>
      </c>
    </row>
    <row r="35" spans="1:7" ht="15.75">
      <c r="A35" s="3"/>
      <c r="B35" s="2" t="s">
        <v>20</v>
      </c>
      <c r="C35" s="6" t="s">
        <v>85</v>
      </c>
      <c r="D35" s="7" t="s">
        <v>86</v>
      </c>
      <c r="E35" s="7"/>
      <c r="F35" s="7"/>
      <c r="G35" s="25">
        <f>G36</f>
        <v>0</v>
      </c>
    </row>
    <row r="36" spans="1:7" ht="15.75">
      <c r="A36" s="3"/>
      <c r="B36" s="2" t="s">
        <v>20</v>
      </c>
      <c r="C36" s="6" t="s">
        <v>85</v>
      </c>
      <c r="D36" s="7" t="s">
        <v>86</v>
      </c>
      <c r="E36" s="7" t="s">
        <v>119</v>
      </c>
      <c r="F36" s="7"/>
      <c r="G36" s="25">
        <f>G37</f>
        <v>0</v>
      </c>
    </row>
    <row r="37" spans="1:7" ht="15.75">
      <c r="A37" s="3"/>
      <c r="B37" s="2" t="s">
        <v>21</v>
      </c>
      <c r="C37" s="6" t="s">
        <v>85</v>
      </c>
      <c r="D37" s="7" t="s">
        <v>86</v>
      </c>
      <c r="E37" s="7" t="s">
        <v>120</v>
      </c>
      <c r="F37" s="7"/>
      <c r="G37" s="25">
        <f>G38</f>
        <v>0</v>
      </c>
    </row>
    <row r="38" spans="1:7" ht="16.5" customHeight="1">
      <c r="A38" s="3"/>
      <c r="B38" s="2" t="s">
        <v>22</v>
      </c>
      <c r="C38" s="6" t="s">
        <v>85</v>
      </c>
      <c r="D38" s="7" t="s">
        <v>86</v>
      </c>
      <c r="E38" s="7" t="s">
        <v>120</v>
      </c>
      <c r="F38" s="7"/>
      <c r="G38" s="25">
        <f>G39</f>
        <v>0</v>
      </c>
    </row>
    <row r="39" spans="1:7" ht="15.75">
      <c r="A39" s="3"/>
      <c r="B39" s="2" t="s">
        <v>23</v>
      </c>
      <c r="C39" s="6" t="s">
        <v>85</v>
      </c>
      <c r="D39" s="7" t="s">
        <v>86</v>
      </c>
      <c r="E39" s="7" t="s">
        <v>120</v>
      </c>
      <c r="F39" s="7" t="s">
        <v>105</v>
      </c>
      <c r="G39" s="25">
        <f>'Бюджетная роспись на 27.09.2010'!I69/1000</f>
        <v>0</v>
      </c>
    </row>
    <row r="40" spans="1:7" ht="15.75">
      <c r="A40" s="3"/>
      <c r="B40" s="2" t="s">
        <v>24</v>
      </c>
      <c r="C40" s="6" t="s">
        <v>85</v>
      </c>
      <c r="D40" s="7" t="s">
        <v>87</v>
      </c>
      <c r="E40" s="8"/>
      <c r="F40" s="8"/>
      <c r="G40" s="25">
        <f>G43+G41</f>
        <v>4557.1</v>
      </c>
    </row>
    <row r="41" spans="1:7" ht="25.5">
      <c r="A41" s="214"/>
      <c r="B41" s="4" t="s">
        <v>262</v>
      </c>
      <c r="C41" s="6" t="s">
        <v>85</v>
      </c>
      <c r="D41" s="7" t="s">
        <v>87</v>
      </c>
      <c r="E41" s="7" t="s">
        <v>263</v>
      </c>
      <c r="F41" s="220"/>
      <c r="G41" s="25">
        <f>G42</f>
        <v>44</v>
      </c>
    </row>
    <row r="42" spans="1:7" ht="15.75">
      <c r="A42" s="214"/>
      <c r="B42" s="2" t="s">
        <v>14</v>
      </c>
      <c r="C42" s="6" t="s">
        <v>85</v>
      </c>
      <c r="D42" s="7" t="s">
        <v>87</v>
      </c>
      <c r="E42" s="7" t="s">
        <v>263</v>
      </c>
      <c r="F42" s="220">
        <v>500</v>
      </c>
      <c r="G42" s="25">
        <v>44</v>
      </c>
    </row>
    <row r="43" spans="1:7" ht="30.75" customHeight="1">
      <c r="A43" s="3"/>
      <c r="B43" s="215" t="s">
        <v>25</v>
      </c>
      <c r="C43" s="216" t="s">
        <v>85</v>
      </c>
      <c r="D43" s="217" t="s">
        <v>87</v>
      </c>
      <c r="E43" s="217" t="s">
        <v>121</v>
      </c>
      <c r="F43" s="218"/>
      <c r="G43" s="219">
        <f>G44</f>
        <v>4513.1</v>
      </c>
    </row>
    <row r="44" spans="1:7" ht="15.75">
      <c r="A44" s="3"/>
      <c r="B44" s="2" t="s">
        <v>26</v>
      </c>
      <c r="C44" s="6" t="s">
        <v>85</v>
      </c>
      <c r="D44" s="7" t="s">
        <v>87</v>
      </c>
      <c r="E44" s="7" t="s">
        <v>122</v>
      </c>
      <c r="F44" s="8"/>
      <c r="G44" s="25">
        <f>G45</f>
        <v>4513.1</v>
      </c>
    </row>
    <row r="45" spans="1:7" ht="15.75">
      <c r="A45" s="3"/>
      <c r="B45" s="2" t="s">
        <v>14</v>
      </c>
      <c r="C45" s="6" t="s">
        <v>85</v>
      </c>
      <c r="D45" s="7" t="s">
        <v>87</v>
      </c>
      <c r="E45" s="7" t="s">
        <v>122</v>
      </c>
      <c r="F45" s="7">
        <v>500</v>
      </c>
      <c r="G45" s="25">
        <f>2646.3+1866.8</f>
        <v>4513.1</v>
      </c>
    </row>
    <row r="46" spans="1:7" ht="15.75">
      <c r="A46" s="3"/>
      <c r="B46" s="2" t="s">
        <v>27</v>
      </c>
      <c r="C46" s="6" t="s">
        <v>85</v>
      </c>
      <c r="D46" s="20" t="s">
        <v>88</v>
      </c>
      <c r="E46" s="23"/>
      <c r="F46" s="23"/>
      <c r="G46" s="24">
        <f>G47</f>
        <v>393.788</v>
      </c>
    </row>
    <row r="47" spans="1:7" ht="15.75">
      <c r="A47" s="3"/>
      <c r="B47" s="2" t="s">
        <v>28</v>
      </c>
      <c r="C47" s="6" t="s">
        <v>85</v>
      </c>
      <c r="D47" s="7" t="s">
        <v>89</v>
      </c>
      <c r="E47" s="8"/>
      <c r="F47" s="8"/>
      <c r="G47" s="25">
        <f>G48</f>
        <v>393.788</v>
      </c>
    </row>
    <row r="48" spans="1:7" ht="31.5">
      <c r="A48" s="3"/>
      <c r="B48" s="2" t="s">
        <v>29</v>
      </c>
      <c r="C48" s="190" t="s">
        <v>85</v>
      </c>
      <c r="D48" s="7" t="s">
        <v>89</v>
      </c>
      <c r="E48" s="8" t="s">
        <v>123</v>
      </c>
      <c r="F48" s="8"/>
      <c r="G48" s="25">
        <f>G49</f>
        <v>393.788</v>
      </c>
    </row>
    <row r="49" spans="1:7" ht="15.75">
      <c r="A49" s="3"/>
      <c r="B49" s="2" t="s">
        <v>14</v>
      </c>
      <c r="C49" s="6" t="s">
        <v>85</v>
      </c>
      <c r="D49" s="7" t="s">
        <v>89</v>
      </c>
      <c r="E49" s="8" t="s">
        <v>123</v>
      </c>
      <c r="F49" s="7">
        <v>500</v>
      </c>
      <c r="G49" s="25">
        <f>'Бюджетная роспись на 27.09.2010'!I81/1000</f>
        <v>393.788</v>
      </c>
    </row>
    <row r="50" spans="1:7" ht="15.75">
      <c r="A50" s="3"/>
      <c r="B50" s="2" t="s">
        <v>30</v>
      </c>
      <c r="C50" s="6" t="s">
        <v>85</v>
      </c>
      <c r="D50" s="20" t="s">
        <v>90</v>
      </c>
      <c r="E50" s="23"/>
      <c r="F50" s="23"/>
      <c r="G50" s="24">
        <f>G51</f>
        <v>490</v>
      </c>
    </row>
    <row r="51" spans="1:7" ht="31.5">
      <c r="A51" s="3"/>
      <c r="B51" s="2" t="s">
        <v>31</v>
      </c>
      <c r="C51" s="6" t="s">
        <v>85</v>
      </c>
      <c r="D51" s="7" t="s">
        <v>91</v>
      </c>
      <c r="E51" s="7"/>
      <c r="F51" s="7"/>
      <c r="G51" s="25">
        <f>G52</f>
        <v>490</v>
      </c>
    </row>
    <row r="52" spans="1:7" ht="31.5">
      <c r="A52" s="3"/>
      <c r="B52" s="2" t="s">
        <v>32</v>
      </c>
      <c r="C52" s="6" t="s">
        <v>85</v>
      </c>
      <c r="D52" s="7" t="s">
        <v>91</v>
      </c>
      <c r="E52" s="7">
        <v>2180000</v>
      </c>
      <c r="F52" s="7"/>
      <c r="G52" s="25">
        <f>G53</f>
        <v>490</v>
      </c>
    </row>
    <row r="53" spans="1:7" ht="31.5">
      <c r="A53" s="3"/>
      <c r="B53" s="2" t="s">
        <v>33</v>
      </c>
      <c r="C53" s="6" t="s">
        <v>85</v>
      </c>
      <c r="D53" s="7" t="s">
        <v>91</v>
      </c>
      <c r="E53" s="7">
        <v>2180100</v>
      </c>
      <c r="F53" s="7"/>
      <c r="G53" s="25">
        <f>G54</f>
        <v>490</v>
      </c>
    </row>
    <row r="54" spans="1:7" ht="15.75">
      <c r="A54" s="3"/>
      <c r="B54" s="2" t="s">
        <v>14</v>
      </c>
      <c r="C54" s="6" t="s">
        <v>85</v>
      </c>
      <c r="D54" s="7" t="s">
        <v>91</v>
      </c>
      <c r="E54" s="7">
        <v>2180100</v>
      </c>
      <c r="F54" s="7" t="s">
        <v>110</v>
      </c>
      <c r="G54" s="25">
        <f>'Бюджетная роспись на 27.09.2010'!I96/1000</f>
        <v>490</v>
      </c>
    </row>
    <row r="55" spans="1:7" ht="15.75">
      <c r="A55" s="3"/>
      <c r="B55" s="2" t="s">
        <v>34</v>
      </c>
      <c r="C55" s="6" t="s">
        <v>85</v>
      </c>
      <c r="D55" s="20" t="s">
        <v>92</v>
      </c>
      <c r="E55" s="20"/>
      <c r="F55" s="20"/>
      <c r="G55" s="24">
        <f>G59+G60</f>
        <v>3078.9</v>
      </c>
    </row>
    <row r="56" spans="1:7" ht="15.75">
      <c r="A56" s="3"/>
      <c r="B56" s="2" t="s">
        <v>35</v>
      </c>
      <c r="C56" s="6" t="s">
        <v>85</v>
      </c>
      <c r="D56" s="7" t="s">
        <v>93</v>
      </c>
      <c r="E56" s="7"/>
      <c r="F56" s="7"/>
      <c r="G56" s="25">
        <f>G57</f>
        <v>150</v>
      </c>
    </row>
    <row r="57" spans="1:7" ht="15.75">
      <c r="A57" s="3"/>
      <c r="B57" s="2" t="s">
        <v>36</v>
      </c>
      <c r="C57" s="6" t="s">
        <v>85</v>
      </c>
      <c r="D57" s="7" t="s">
        <v>93</v>
      </c>
      <c r="E57" s="7">
        <v>2480000</v>
      </c>
      <c r="F57" s="7"/>
      <c r="G57" s="25">
        <f>G58</f>
        <v>150</v>
      </c>
    </row>
    <row r="58" spans="1:7" ht="46.5" customHeight="1">
      <c r="A58" s="3"/>
      <c r="B58" s="2" t="s">
        <v>37</v>
      </c>
      <c r="C58" s="190" t="s">
        <v>85</v>
      </c>
      <c r="D58" s="7" t="s">
        <v>93</v>
      </c>
      <c r="E58" s="7">
        <v>2480100</v>
      </c>
      <c r="F58" s="7"/>
      <c r="G58" s="25">
        <f>G59</f>
        <v>150</v>
      </c>
    </row>
    <row r="59" spans="1:7" ht="15.75">
      <c r="A59" s="3"/>
      <c r="B59" s="2" t="s">
        <v>38</v>
      </c>
      <c r="C59" s="6" t="s">
        <v>85</v>
      </c>
      <c r="D59" s="7" t="s">
        <v>93</v>
      </c>
      <c r="E59" s="7">
        <v>2480100</v>
      </c>
      <c r="F59" s="7" t="s">
        <v>108</v>
      </c>
      <c r="G59" s="25">
        <f>'Бюджетная роспись на 27.09.2010'!I104/1000</f>
        <v>150</v>
      </c>
    </row>
    <row r="60" spans="1:7" ht="15.75">
      <c r="A60" s="3"/>
      <c r="B60" s="2" t="s">
        <v>39</v>
      </c>
      <c r="C60" s="6" t="s">
        <v>85</v>
      </c>
      <c r="D60" s="7" t="s">
        <v>94</v>
      </c>
      <c r="E60" s="7"/>
      <c r="F60" s="7"/>
      <c r="G60" s="25">
        <f>G62+G65</f>
        <v>2928.9</v>
      </c>
    </row>
    <row r="61" spans="1:7" ht="19.5" customHeight="1">
      <c r="A61" s="3"/>
      <c r="B61" s="2" t="s">
        <v>40</v>
      </c>
      <c r="C61" s="6" t="s">
        <v>85</v>
      </c>
      <c r="D61" s="7" t="s">
        <v>94</v>
      </c>
      <c r="E61" s="7">
        <v>3380000</v>
      </c>
      <c r="F61" s="7"/>
      <c r="G61" s="25">
        <f>G62</f>
        <v>2023.9</v>
      </c>
    </row>
    <row r="62" spans="1:7" ht="15.75">
      <c r="A62" s="3"/>
      <c r="B62" s="2" t="s">
        <v>14</v>
      </c>
      <c r="C62" s="6" t="s">
        <v>85</v>
      </c>
      <c r="D62" s="7" t="s">
        <v>94</v>
      </c>
      <c r="E62" s="7">
        <v>3380000</v>
      </c>
      <c r="F62" s="7">
        <v>500</v>
      </c>
      <c r="G62" s="25">
        <f>2323.9-300</f>
        <v>2023.9</v>
      </c>
    </row>
    <row r="63" spans="1:7" ht="13.5" customHeight="1">
      <c r="A63" s="3"/>
      <c r="B63" s="2" t="s">
        <v>41</v>
      </c>
      <c r="C63" s="6" t="s">
        <v>85</v>
      </c>
      <c r="D63" s="7" t="s">
        <v>94</v>
      </c>
      <c r="E63" s="7">
        <v>3400000</v>
      </c>
      <c r="F63" s="7"/>
      <c r="G63" s="25">
        <f>G64</f>
        <v>905</v>
      </c>
    </row>
    <row r="64" spans="1:7" ht="15.75">
      <c r="A64" s="3"/>
      <c r="B64" s="2" t="s">
        <v>42</v>
      </c>
      <c r="C64" s="6" t="s">
        <v>85</v>
      </c>
      <c r="D64" s="7" t="s">
        <v>94</v>
      </c>
      <c r="E64" s="7">
        <v>3400300</v>
      </c>
      <c r="F64" s="8"/>
      <c r="G64" s="25">
        <f>G65</f>
        <v>905</v>
      </c>
    </row>
    <row r="65" spans="1:7" ht="15.75">
      <c r="A65" s="3"/>
      <c r="B65" s="2" t="s">
        <v>14</v>
      </c>
      <c r="C65" s="6" t="s">
        <v>85</v>
      </c>
      <c r="D65" s="7" t="s">
        <v>94</v>
      </c>
      <c r="E65" s="7">
        <v>3400300</v>
      </c>
      <c r="F65" s="7">
        <v>500</v>
      </c>
      <c r="G65" s="25">
        <f>'Бюджетная роспись на 27.09.2010'!I112/1000-1500</f>
        <v>905</v>
      </c>
    </row>
    <row r="66" spans="1:8" ht="15.75">
      <c r="A66" s="3"/>
      <c r="B66" s="2" t="s">
        <v>43</v>
      </c>
      <c r="C66" s="6" t="s">
        <v>85</v>
      </c>
      <c r="D66" s="20" t="s">
        <v>95</v>
      </c>
      <c r="E66" s="20"/>
      <c r="F66" s="20"/>
      <c r="G66" s="24">
        <f>G67+G91+G103+0.1</f>
        <v>148474.27829000002</v>
      </c>
      <c r="H66" s="30"/>
    </row>
    <row r="67" spans="1:8" ht="15.75">
      <c r="A67" s="3"/>
      <c r="B67" s="2" t="s">
        <v>44</v>
      </c>
      <c r="C67" s="6" t="s">
        <v>85</v>
      </c>
      <c r="D67" s="7" t="s">
        <v>96</v>
      </c>
      <c r="E67" s="7"/>
      <c r="F67" s="7"/>
      <c r="G67" s="189">
        <f>G79+G88+G86+G81+G77+G75+G69+G71+G73+G83+G85-0.01+G89</f>
        <v>126785.05</v>
      </c>
      <c r="H67" s="30"/>
    </row>
    <row r="68" spans="1:7" ht="27.75" customHeight="1">
      <c r="A68" s="3"/>
      <c r="B68" s="39" t="s">
        <v>235</v>
      </c>
      <c r="C68" s="6" t="s">
        <v>85</v>
      </c>
      <c r="D68" s="7" t="s">
        <v>96</v>
      </c>
      <c r="E68" s="7" t="s">
        <v>225</v>
      </c>
      <c r="F68" s="7"/>
      <c r="G68" s="189">
        <v>67480</v>
      </c>
    </row>
    <row r="69" spans="1:7" ht="15.75">
      <c r="A69" s="3"/>
      <c r="B69" s="4" t="s">
        <v>14</v>
      </c>
      <c r="C69" s="6" t="s">
        <v>85</v>
      </c>
      <c r="D69" s="7" t="s">
        <v>96</v>
      </c>
      <c r="E69" s="7" t="s">
        <v>225</v>
      </c>
      <c r="F69" s="7" t="s">
        <v>110</v>
      </c>
      <c r="G69" s="189">
        <v>67480</v>
      </c>
    </row>
    <row r="70" spans="1:7" ht="34.5" customHeight="1">
      <c r="A70" s="3"/>
      <c r="B70" s="39" t="s">
        <v>233</v>
      </c>
      <c r="C70" s="6" t="s">
        <v>85</v>
      </c>
      <c r="D70" s="7" t="s">
        <v>96</v>
      </c>
      <c r="E70" s="7" t="s">
        <v>226</v>
      </c>
      <c r="F70" s="7"/>
      <c r="G70" s="189">
        <f>G71</f>
        <v>6815.5</v>
      </c>
    </row>
    <row r="71" spans="1:7" ht="15.75">
      <c r="A71" s="3"/>
      <c r="B71" s="39" t="s">
        <v>14</v>
      </c>
      <c r="C71" s="6" t="s">
        <v>85</v>
      </c>
      <c r="D71" s="7" t="s">
        <v>96</v>
      </c>
      <c r="E71" s="7" t="s">
        <v>226</v>
      </c>
      <c r="F71" s="7" t="s">
        <v>110</v>
      </c>
      <c r="G71" s="189">
        <v>6815.5</v>
      </c>
    </row>
    <row r="72" spans="1:7" ht="36.75" customHeight="1">
      <c r="A72" s="3"/>
      <c r="B72" s="39" t="s">
        <v>234</v>
      </c>
      <c r="C72" s="6" t="s">
        <v>85</v>
      </c>
      <c r="D72" s="7" t="s">
        <v>96</v>
      </c>
      <c r="E72" s="7" t="s">
        <v>226</v>
      </c>
      <c r="F72" s="7"/>
      <c r="G72" s="189">
        <f>G73</f>
        <v>806.36</v>
      </c>
    </row>
    <row r="73" spans="1:7" ht="15.75">
      <c r="A73" s="3"/>
      <c r="B73" s="39" t="s">
        <v>14</v>
      </c>
      <c r="C73" s="6" t="s">
        <v>85</v>
      </c>
      <c r="D73" s="7" t="s">
        <v>96</v>
      </c>
      <c r="E73" s="7" t="s">
        <v>226</v>
      </c>
      <c r="F73" s="7" t="s">
        <v>110</v>
      </c>
      <c r="G73" s="189">
        <f>'Бюджетная роспись на 27.09.2010'!I129/1000</f>
        <v>806.36</v>
      </c>
    </row>
    <row r="74" spans="1:7" ht="30">
      <c r="A74" s="3"/>
      <c r="B74" s="39" t="s">
        <v>221</v>
      </c>
      <c r="C74" s="6" t="s">
        <v>85</v>
      </c>
      <c r="D74" s="7" t="s">
        <v>96</v>
      </c>
      <c r="E74" s="7" t="s">
        <v>222</v>
      </c>
      <c r="F74" s="7"/>
      <c r="G74" s="25">
        <f>G75</f>
        <v>23070.3</v>
      </c>
    </row>
    <row r="75" spans="1:7" ht="15.75">
      <c r="A75" s="3"/>
      <c r="B75" s="39" t="s">
        <v>38</v>
      </c>
      <c r="C75" s="6" t="s">
        <v>85</v>
      </c>
      <c r="D75" s="7" t="s">
        <v>96</v>
      </c>
      <c r="E75" s="7" t="s">
        <v>222</v>
      </c>
      <c r="F75" s="7" t="s">
        <v>108</v>
      </c>
      <c r="G75" s="189">
        <f>'Бюджетная роспись на 27.09.2010'!I116/1000</f>
        <v>23070.3</v>
      </c>
    </row>
    <row r="76" spans="1:7" ht="31.5" customHeight="1">
      <c r="A76" s="3"/>
      <c r="B76" s="4" t="s">
        <v>220</v>
      </c>
      <c r="C76" s="6" t="s">
        <v>85</v>
      </c>
      <c r="D76" s="7" t="s">
        <v>96</v>
      </c>
      <c r="E76" s="7" t="s">
        <v>126</v>
      </c>
      <c r="F76" s="7"/>
      <c r="G76" s="189">
        <f>G77</f>
        <v>2051</v>
      </c>
    </row>
    <row r="77" spans="1:7" ht="15.75">
      <c r="A77" s="3"/>
      <c r="B77" s="39" t="s">
        <v>38</v>
      </c>
      <c r="C77" s="6" t="s">
        <v>85</v>
      </c>
      <c r="D77" s="7" t="s">
        <v>96</v>
      </c>
      <c r="E77" s="7" t="s">
        <v>126</v>
      </c>
      <c r="F77" s="7" t="s">
        <v>108</v>
      </c>
      <c r="G77" s="189">
        <f>'Бюджетная роспись на 27.09.2010'!I122/1000</f>
        <v>2051</v>
      </c>
    </row>
    <row r="78" spans="1:7" ht="29.25" customHeight="1">
      <c r="A78" s="3"/>
      <c r="B78" s="4" t="s">
        <v>231</v>
      </c>
      <c r="C78" s="6" t="s">
        <v>85</v>
      </c>
      <c r="D78" s="7" t="s">
        <v>96</v>
      </c>
      <c r="E78" s="7" t="s">
        <v>126</v>
      </c>
      <c r="F78" s="7"/>
      <c r="G78" s="189">
        <f>G79</f>
        <v>684</v>
      </c>
    </row>
    <row r="79" spans="1:7" ht="15.75">
      <c r="A79" s="3"/>
      <c r="B79" s="2" t="s">
        <v>38</v>
      </c>
      <c r="C79" s="6" t="s">
        <v>85</v>
      </c>
      <c r="D79" s="7" t="s">
        <v>96</v>
      </c>
      <c r="E79" s="7" t="s">
        <v>126</v>
      </c>
      <c r="F79" s="7" t="s">
        <v>108</v>
      </c>
      <c r="G79" s="189">
        <f>'Бюджетная роспись на 27.09.2010'!I132/1000</f>
        <v>684</v>
      </c>
    </row>
    <row r="80" spans="1:7" ht="25.5">
      <c r="A80" s="3"/>
      <c r="B80" s="4" t="s">
        <v>223</v>
      </c>
      <c r="C80" s="6" t="s">
        <v>85</v>
      </c>
      <c r="D80" s="7" t="s">
        <v>96</v>
      </c>
      <c r="E80" s="7" t="s">
        <v>132</v>
      </c>
      <c r="F80" s="7"/>
      <c r="G80" s="189">
        <f>G81</f>
        <v>513.3</v>
      </c>
    </row>
    <row r="81" spans="1:7" ht="15.75">
      <c r="A81" s="3"/>
      <c r="B81" s="2" t="s">
        <v>38</v>
      </c>
      <c r="C81" s="6" t="s">
        <v>85</v>
      </c>
      <c r="D81" s="7" t="s">
        <v>96</v>
      </c>
      <c r="E81" s="7" t="s">
        <v>132</v>
      </c>
      <c r="F81" s="7" t="s">
        <v>108</v>
      </c>
      <c r="G81" s="189">
        <v>513.3</v>
      </c>
    </row>
    <row r="82" spans="1:7" ht="15.75">
      <c r="A82" s="3"/>
      <c r="B82" s="4" t="s">
        <v>131</v>
      </c>
      <c r="C82" s="6" t="s">
        <v>85</v>
      </c>
      <c r="D82" s="7" t="s">
        <v>96</v>
      </c>
      <c r="E82" s="7" t="s">
        <v>132</v>
      </c>
      <c r="F82" s="7"/>
      <c r="G82" s="25">
        <f>G83</f>
        <v>227.40000000000003</v>
      </c>
    </row>
    <row r="83" spans="1:7" ht="15.75">
      <c r="A83" s="3"/>
      <c r="B83" s="2" t="s">
        <v>38</v>
      </c>
      <c r="C83" s="6" t="s">
        <v>85</v>
      </c>
      <c r="D83" s="7" t="s">
        <v>96</v>
      </c>
      <c r="E83" s="7" t="s">
        <v>132</v>
      </c>
      <c r="F83" s="7" t="s">
        <v>108</v>
      </c>
      <c r="G83" s="25">
        <f>378.1-0.7-150</f>
        <v>227.40000000000003</v>
      </c>
    </row>
    <row r="84" spans="1:7" ht="25.5">
      <c r="A84" s="3"/>
      <c r="B84" s="4" t="s">
        <v>129</v>
      </c>
      <c r="C84" s="6" t="s">
        <v>85</v>
      </c>
      <c r="D84" s="7" t="s">
        <v>96</v>
      </c>
      <c r="E84" s="7" t="s">
        <v>130</v>
      </c>
      <c r="F84" s="7"/>
      <c r="G84" s="25">
        <f>G86+G85</f>
        <v>1004</v>
      </c>
    </row>
    <row r="85" spans="1:7" ht="15.75">
      <c r="A85" s="3"/>
      <c r="B85" s="2" t="s">
        <v>38</v>
      </c>
      <c r="C85" s="6" t="s">
        <v>85</v>
      </c>
      <c r="D85" s="7" t="s">
        <v>96</v>
      </c>
      <c r="E85" s="7" t="s">
        <v>130</v>
      </c>
      <c r="F85" s="7" t="s">
        <v>108</v>
      </c>
      <c r="G85" s="25">
        <f>703.3+0.7</f>
        <v>704</v>
      </c>
    </row>
    <row r="86" spans="1:7" ht="15.75">
      <c r="A86" s="3"/>
      <c r="B86" s="2" t="s">
        <v>14</v>
      </c>
      <c r="C86" s="6" t="s">
        <v>85</v>
      </c>
      <c r="D86" s="7" t="s">
        <v>96</v>
      </c>
      <c r="E86" s="7" t="s">
        <v>130</v>
      </c>
      <c r="F86" s="7" t="s">
        <v>110</v>
      </c>
      <c r="G86" s="25">
        <f>'Бюджетная роспись на 27.09.2010'!I141/1000</f>
        <v>300</v>
      </c>
    </row>
    <row r="87" spans="1:7" ht="18" customHeight="1">
      <c r="A87" s="3"/>
      <c r="B87" s="4" t="s">
        <v>125</v>
      </c>
      <c r="C87" s="6" t="s">
        <v>85</v>
      </c>
      <c r="D87" s="7" t="s">
        <v>96</v>
      </c>
      <c r="E87" s="7" t="s">
        <v>124</v>
      </c>
      <c r="F87" s="7"/>
      <c r="G87" s="25">
        <f>G88</f>
        <v>0</v>
      </c>
    </row>
    <row r="88" spans="1:7" ht="15.75">
      <c r="A88" s="3"/>
      <c r="B88" s="2" t="s">
        <v>45</v>
      </c>
      <c r="C88" s="6" t="s">
        <v>85</v>
      </c>
      <c r="D88" s="7" t="s">
        <v>96</v>
      </c>
      <c r="E88" s="7" t="s">
        <v>124</v>
      </c>
      <c r="F88" s="7" t="s">
        <v>109</v>
      </c>
      <c r="G88" s="25">
        <v>0</v>
      </c>
    </row>
    <row r="89" spans="1:7" ht="31.5">
      <c r="A89" s="3"/>
      <c r="B89" s="267" t="s">
        <v>319</v>
      </c>
      <c r="C89" s="6" t="s">
        <v>85</v>
      </c>
      <c r="D89" s="7" t="s">
        <v>96</v>
      </c>
      <c r="E89" s="7" t="s">
        <v>317</v>
      </c>
      <c r="F89" s="7"/>
      <c r="G89" s="25">
        <f>G90</f>
        <v>24133.2</v>
      </c>
    </row>
    <row r="90" spans="1:7" ht="15.75">
      <c r="A90" s="3"/>
      <c r="B90" s="2" t="s">
        <v>14</v>
      </c>
      <c r="C90" s="6" t="s">
        <v>85</v>
      </c>
      <c r="D90" s="7" t="s">
        <v>96</v>
      </c>
      <c r="E90" s="7" t="s">
        <v>317</v>
      </c>
      <c r="F90" s="7" t="s">
        <v>110</v>
      </c>
      <c r="G90" s="25">
        <v>24133.2</v>
      </c>
    </row>
    <row r="91" spans="1:7" ht="15.75">
      <c r="A91" s="3"/>
      <c r="B91" s="2" t="s">
        <v>46</v>
      </c>
      <c r="C91" s="6" t="s">
        <v>85</v>
      </c>
      <c r="D91" s="7" t="s">
        <v>97</v>
      </c>
      <c r="E91" s="7"/>
      <c r="F91" s="7"/>
      <c r="G91" s="189">
        <f>G96+G95+G93</f>
        <v>2430.1499999999996</v>
      </c>
    </row>
    <row r="92" spans="1:7" ht="30">
      <c r="A92" s="3"/>
      <c r="B92" s="39" t="s">
        <v>227</v>
      </c>
      <c r="C92" s="6" t="s">
        <v>85</v>
      </c>
      <c r="D92" s="7" t="s">
        <v>97</v>
      </c>
      <c r="E92" s="7" t="s">
        <v>124</v>
      </c>
      <c r="F92" s="26"/>
      <c r="G92" s="25">
        <f>G93</f>
        <v>461.04999999999995</v>
      </c>
    </row>
    <row r="93" spans="1:7" ht="15.75">
      <c r="A93" s="3"/>
      <c r="B93" s="177" t="s">
        <v>45</v>
      </c>
      <c r="C93" s="6" t="s">
        <v>85</v>
      </c>
      <c r="D93" s="7" t="s">
        <v>97</v>
      </c>
      <c r="E93" s="7" t="s">
        <v>124</v>
      </c>
      <c r="F93" s="7" t="s">
        <v>109</v>
      </c>
      <c r="G93" s="25">
        <f>'Бюджетная роспись на 27.09.2010'!I148/1000-240</f>
        <v>461.04999999999995</v>
      </c>
    </row>
    <row r="94" spans="1:7" ht="25.5">
      <c r="A94" s="3"/>
      <c r="B94" s="4" t="s">
        <v>224</v>
      </c>
      <c r="C94" s="6" t="s">
        <v>85</v>
      </c>
      <c r="D94" s="7" t="s">
        <v>97</v>
      </c>
      <c r="E94" s="7" t="s">
        <v>124</v>
      </c>
      <c r="F94" s="7"/>
      <c r="G94" s="25">
        <f>G95</f>
        <v>1700</v>
      </c>
    </row>
    <row r="95" spans="1:7" ht="15.75">
      <c r="A95" s="3"/>
      <c r="B95" s="2" t="s">
        <v>45</v>
      </c>
      <c r="C95" s="6" t="s">
        <v>85</v>
      </c>
      <c r="D95" s="7" t="s">
        <v>97</v>
      </c>
      <c r="E95" s="7" t="s">
        <v>124</v>
      </c>
      <c r="F95" s="7" t="s">
        <v>109</v>
      </c>
      <c r="G95" s="25">
        <f>'Бюджетная роспись на 27.09.2010'!I145/1000-800</f>
        <v>1700</v>
      </c>
    </row>
    <row r="96" spans="1:7" ht="15.75">
      <c r="A96" s="3"/>
      <c r="B96" s="2" t="s">
        <v>47</v>
      </c>
      <c r="C96" s="6" t="s">
        <v>85</v>
      </c>
      <c r="D96" s="7" t="s">
        <v>97</v>
      </c>
      <c r="E96" s="7">
        <v>3510000</v>
      </c>
      <c r="F96" s="7"/>
      <c r="G96" s="25">
        <f>G98+G100+G102</f>
        <v>269.1</v>
      </c>
    </row>
    <row r="97" spans="1:7" ht="25.5">
      <c r="A97" s="3"/>
      <c r="B97" s="4" t="s">
        <v>140</v>
      </c>
      <c r="C97" s="6" t="s">
        <v>85</v>
      </c>
      <c r="D97" s="7" t="s">
        <v>97</v>
      </c>
      <c r="E97" s="7" t="s">
        <v>128</v>
      </c>
      <c r="F97" s="7"/>
      <c r="G97" s="25">
        <f>G98</f>
        <v>100</v>
      </c>
    </row>
    <row r="98" spans="1:7" ht="15.75">
      <c r="A98" s="3"/>
      <c r="B98" s="2" t="s">
        <v>38</v>
      </c>
      <c r="C98" s="6" t="s">
        <v>85</v>
      </c>
      <c r="D98" s="7" t="s">
        <v>97</v>
      </c>
      <c r="E98" s="7" t="s">
        <v>128</v>
      </c>
      <c r="F98" s="7" t="s">
        <v>108</v>
      </c>
      <c r="G98" s="25">
        <f>'Бюджетная роспись на 27.09.2010'!I152/1000</f>
        <v>100</v>
      </c>
    </row>
    <row r="99" spans="1:7" ht="25.5">
      <c r="A99" s="3"/>
      <c r="B99" s="4" t="s">
        <v>48</v>
      </c>
      <c r="C99" s="6" t="s">
        <v>85</v>
      </c>
      <c r="D99" s="7" t="s">
        <v>97</v>
      </c>
      <c r="E99" s="7">
        <v>3510500</v>
      </c>
      <c r="F99" s="7"/>
      <c r="G99" s="25">
        <f>G100</f>
        <v>160</v>
      </c>
    </row>
    <row r="100" spans="1:7" ht="15.75">
      <c r="A100" s="3"/>
      <c r="B100" s="2" t="s">
        <v>38</v>
      </c>
      <c r="C100" s="6" t="s">
        <v>85</v>
      </c>
      <c r="D100" s="7" t="s">
        <v>97</v>
      </c>
      <c r="E100" s="7">
        <v>3510500</v>
      </c>
      <c r="F100" s="7" t="s">
        <v>108</v>
      </c>
      <c r="G100" s="25">
        <f>400-240</f>
        <v>160</v>
      </c>
    </row>
    <row r="101" spans="1:7" ht="15.75">
      <c r="A101" s="3"/>
      <c r="B101" s="2" t="s">
        <v>186</v>
      </c>
      <c r="C101" s="6" t="s">
        <v>85</v>
      </c>
      <c r="D101" s="7" t="s">
        <v>97</v>
      </c>
      <c r="E101" s="7" t="s">
        <v>141</v>
      </c>
      <c r="F101" s="7"/>
      <c r="G101" s="25">
        <f>G102</f>
        <v>9.100000000000023</v>
      </c>
    </row>
    <row r="102" spans="1:7" ht="15.75">
      <c r="A102" s="3"/>
      <c r="B102" s="2" t="s">
        <v>38</v>
      </c>
      <c r="C102" s="6" t="s">
        <v>85</v>
      </c>
      <c r="D102" s="7" t="s">
        <v>97</v>
      </c>
      <c r="E102" s="7" t="s">
        <v>141</v>
      </c>
      <c r="F102" s="7" t="s">
        <v>108</v>
      </c>
      <c r="G102" s="25">
        <f>629.1-620</f>
        <v>9.100000000000023</v>
      </c>
    </row>
    <row r="103" spans="1:7" ht="15.75">
      <c r="A103" s="3"/>
      <c r="B103" s="2" t="s">
        <v>49</v>
      </c>
      <c r="C103" s="6" t="s">
        <v>85</v>
      </c>
      <c r="D103" s="7" t="s">
        <v>98</v>
      </c>
      <c r="E103" s="9"/>
      <c r="F103" s="7"/>
      <c r="G103" s="189">
        <f>G105+G107+G109+G113+G111</f>
        <v>19258.97829</v>
      </c>
    </row>
    <row r="104" spans="1:7" ht="15.75">
      <c r="A104" s="3"/>
      <c r="B104" s="2" t="s">
        <v>50</v>
      </c>
      <c r="C104" s="6" t="s">
        <v>85</v>
      </c>
      <c r="D104" s="7" t="s">
        <v>98</v>
      </c>
      <c r="E104" s="7">
        <v>6000100</v>
      </c>
      <c r="F104" s="7"/>
      <c r="G104" s="25">
        <f>G105</f>
        <v>900</v>
      </c>
    </row>
    <row r="105" spans="1:7" ht="15.75">
      <c r="A105" s="3"/>
      <c r="B105" s="2" t="s">
        <v>14</v>
      </c>
      <c r="C105" s="6" t="s">
        <v>85</v>
      </c>
      <c r="D105" s="7" t="s">
        <v>98</v>
      </c>
      <c r="E105" s="7">
        <v>6000100</v>
      </c>
      <c r="F105" s="7">
        <v>500</v>
      </c>
      <c r="G105" s="25">
        <f>1200-300</f>
        <v>900</v>
      </c>
    </row>
    <row r="106" spans="1:7" ht="25.5">
      <c r="A106" s="3"/>
      <c r="B106" s="4" t="s">
        <v>51</v>
      </c>
      <c r="C106" s="6" t="s">
        <v>85</v>
      </c>
      <c r="D106" s="7" t="s">
        <v>98</v>
      </c>
      <c r="E106" s="7">
        <v>6000200</v>
      </c>
      <c r="F106" s="7"/>
      <c r="G106" s="25">
        <f>G107</f>
        <v>934.7</v>
      </c>
    </row>
    <row r="107" spans="1:7" ht="15.75">
      <c r="A107" s="3"/>
      <c r="B107" s="2" t="s">
        <v>14</v>
      </c>
      <c r="C107" s="6" t="s">
        <v>85</v>
      </c>
      <c r="D107" s="7" t="s">
        <v>98</v>
      </c>
      <c r="E107" s="7">
        <v>6000200</v>
      </c>
      <c r="F107" s="7">
        <v>500</v>
      </c>
      <c r="G107" s="25">
        <v>934.7</v>
      </c>
    </row>
    <row r="108" spans="1:7" ht="15.75">
      <c r="A108" s="3"/>
      <c r="B108" s="2" t="s">
        <v>52</v>
      </c>
      <c r="C108" s="6" t="s">
        <v>85</v>
      </c>
      <c r="D108" s="7" t="s">
        <v>98</v>
      </c>
      <c r="E108" s="7">
        <v>6000300</v>
      </c>
      <c r="F108" s="7"/>
      <c r="G108" s="25">
        <f>G109</f>
        <v>2243.9</v>
      </c>
    </row>
    <row r="109" spans="1:7" ht="15.75">
      <c r="A109" s="3"/>
      <c r="B109" s="2" t="s">
        <v>14</v>
      </c>
      <c r="C109" s="6" t="s">
        <v>85</v>
      </c>
      <c r="D109" s="7" t="s">
        <v>98</v>
      </c>
      <c r="E109" s="7">
        <v>6000300</v>
      </c>
      <c r="F109" s="7">
        <v>500</v>
      </c>
      <c r="G109" s="25">
        <v>2243.9</v>
      </c>
    </row>
    <row r="110" spans="1:7" ht="15.75">
      <c r="A110" s="3"/>
      <c r="B110" s="2" t="s">
        <v>219</v>
      </c>
      <c r="C110" s="6" t="s">
        <v>85</v>
      </c>
      <c r="D110" s="7" t="s">
        <v>98</v>
      </c>
      <c r="E110" s="7" t="s">
        <v>218</v>
      </c>
      <c r="F110" s="7"/>
      <c r="G110" s="25">
        <f>G111</f>
        <v>1555.47829</v>
      </c>
    </row>
    <row r="111" spans="1:7" ht="15.75">
      <c r="A111" s="3"/>
      <c r="B111" s="2" t="s">
        <v>14</v>
      </c>
      <c r="C111" s="6" t="s">
        <v>85</v>
      </c>
      <c r="D111" s="7" t="s">
        <v>98</v>
      </c>
      <c r="E111" s="7" t="s">
        <v>218</v>
      </c>
      <c r="F111" s="7">
        <v>500</v>
      </c>
      <c r="G111" s="25">
        <f>'Бюджетная роспись на 27.09.2010'!I176/1000</f>
        <v>1555.47829</v>
      </c>
    </row>
    <row r="112" spans="1:7" ht="15.75">
      <c r="A112" s="3"/>
      <c r="B112" s="2" t="s">
        <v>53</v>
      </c>
      <c r="C112" s="6" t="s">
        <v>85</v>
      </c>
      <c r="D112" s="7" t="s">
        <v>98</v>
      </c>
      <c r="E112" s="7">
        <v>6000500</v>
      </c>
      <c r="F112" s="7"/>
      <c r="G112" s="25">
        <f>G113</f>
        <v>13624.9</v>
      </c>
    </row>
    <row r="113" spans="1:7" ht="15.75">
      <c r="A113" s="3"/>
      <c r="B113" s="2" t="s">
        <v>14</v>
      </c>
      <c r="C113" s="6" t="s">
        <v>85</v>
      </c>
      <c r="D113" s="7" t="s">
        <v>98</v>
      </c>
      <c r="E113" s="7">
        <v>6000500</v>
      </c>
      <c r="F113" s="7">
        <v>500</v>
      </c>
      <c r="G113" s="25">
        <f>14624.9-1000</f>
        <v>13624.9</v>
      </c>
    </row>
    <row r="114" spans="1:7" ht="15.75">
      <c r="A114" s="3"/>
      <c r="B114" s="2" t="s">
        <v>54</v>
      </c>
      <c r="C114" s="6" t="s">
        <v>85</v>
      </c>
      <c r="D114" s="20" t="s">
        <v>99</v>
      </c>
      <c r="E114" s="20"/>
      <c r="F114" s="20"/>
      <c r="G114" s="24">
        <f>G115</f>
        <v>1003.88</v>
      </c>
    </row>
    <row r="115" spans="1:7" ht="15.75">
      <c r="A115" s="3"/>
      <c r="B115" s="2" t="s">
        <v>55</v>
      </c>
      <c r="C115" s="6" t="s">
        <v>85</v>
      </c>
      <c r="D115" s="7" t="s">
        <v>100</v>
      </c>
      <c r="E115" s="7"/>
      <c r="F115" s="7"/>
      <c r="G115" s="25">
        <f>G116+G119</f>
        <v>1003.88</v>
      </c>
    </row>
    <row r="116" spans="1:7" ht="15.75">
      <c r="A116" s="3"/>
      <c r="B116" s="2" t="s">
        <v>56</v>
      </c>
      <c r="C116" s="6" t="s">
        <v>85</v>
      </c>
      <c r="D116" s="7" t="s">
        <v>100</v>
      </c>
      <c r="E116" s="7">
        <v>4310000</v>
      </c>
      <c r="F116" s="7"/>
      <c r="G116" s="25">
        <f>G117</f>
        <v>973.88</v>
      </c>
    </row>
    <row r="117" spans="1:7" ht="15.75">
      <c r="A117" s="3"/>
      <c r="B117" s="2" t="s">
        <v>57</v>
      </c>
      <c r="C117" s="6" t="s">
        <v>85</v>
      </c>
      <c r="D117" s="7" t="s">
        <v>100</v>
      </c>
      <c r="E117" s="7">
        <v>4310100</v>
      </c>
      <c r="F117" s="7"/>
      <c r="G117" s="25">
        <f>G118</f>
        <v>973.88</v>
      </c>
    </row>
    <row r="118" spans="1:7" ht="15.75">
      <c r="A118" s="3"/>
      <c r="B118" s="2" t="s">
        <v>14</v>
      </c>
      <c r="C118" s="6" t="s">
        <v>85</v>
      </c>
      <c r="D118" s="7" t="s">
        <v>100</v>
      </c>
      <c r="E118" s="7">
        <v>4310100</v>
      </c>
      <c r="F118" s="7">
        <v>500</v>
      </c>
      <c r="G118" s="25">
        <f>'Бюджетная роспись на 27.09.2010'!I189/1000</f>
        <v>973.88</v>
      </c>
    </row>
    <row r="119" spans="1:7" ht="15.75">
      <c r="A119" s="18"/>
      <c r="B119" s="259" t="s">
        <v>318</v>
      </c>
      <c r="C119" s="17" t="s">
        <v>85</v>
      </c>
      <c r="D119" s="257" t="s">
        <v>100</v>
      </c>
      <c r="E119" s="257" t="s">
        <v>316</v>
      </c>
      <c r="F119" s="257"/>
      <c r="G119" s="258">
        <f>G120</f>
        <v>30</v>
      </c>
    </row>
    <row r="120" spans="1:7" ht="15.75">
      <c r="A120" s="18"/>
      <c r="B120" s="2" t="s">
        <v>14</v>
      </c>
      <c r="C120" s="17" t="s">
        <v>85</v>
      </c>
      <c r="D120" s="257" t="s">
        <v>100</v>
      </c>
      <c r="E120" s="257" t="s">
        <v>316</v>
      </c>
      <c r="F120" s="257" t="s">
        <v>110</v>
      </c>
      <c r="G120" s="258">
        <v>30</v>
      </c>
    </row>
    <row r="121" spans="1:7" ht="15.75" customHeight="1">
      <c r="A121" s="18"/>
      <c r="B121" s="19" t="s">
        <v>58</v>
      </c>
      <c r="C121" s="17" t="s">
        <v>85</v>
      </c>
      <c r="D121" s="22" t="s">
        <v>101</v>
      </c>
      <c r="E121" s="22"/>
      <c r="F121" s="22"/>
      <c r="G121" s="27">
        <f>G122</f>
        <v>14386.60501</v>
      </c>
    </row>
    <row r="122" spans="1:7" ht="15.75">
      <c r="A122" s="3"/>
      <c r="B122" s="2" t="s">
        <v>59</v>
      </c>
      <c r="C122" s="6" t="s">
        <v>85</v>
      </c>
      <c r="D122" s="7" t="s">
        <v>102</v>
      </c>
      <c r="E122" s="7"/>
      <c r="F122" s="7"/>
      <c r="G122" s="25">
        <f>G123</f>
        <v>14386.60501</v>
      </c>
    </row>
    <row r="123" spans="1:7" ht="15.75">
      <c r="A123" s="3" t="s">
        <v>60</v>
      </c>
      <c r="B123" s="2" t="s">
        <v>61</v>
      </c>
      <c r="C123" s="6" t="s">
        <v>85</v>
      </c>
      <c r="D123" s="7"/>
      <c r="E123" s="7"/>
      <c r="F123" s="7"/>
      <c r="G123" s="25">
        <f>G124</f>
        <v>14386.60501</v>
      </c>
    </row>
    <row r="124" spans="1:7" ht="24.75" customHeight="1">
      <c r="A124" s="3"/>
      <c r="B124" s="174" t="s">
        <v>62</v>
      </c>
      <c r="C124" s="6" t="s">
        <v>85</v>
      </c>
      <c r="D124" s="7" t="s">
        <v>102</v>
      </c>
      <c r="E124" s="7">
        <v>4400000</v>
      </c>
      <c r="F124" s="7"/>
      <c r="G124" s="25">
        <f>G125</f>
        <v>14386.60501</v>
      </c>
    </row>
    <row r="125" spans="1:7" ht="15.75">
      <c r="A125" s="3"/>
      <c r="B125" s="2" t="s">
        <v>63</v>
      </c>
      <c r="C125" s="6" t="s">
        <v>85</v>
      </c>
      <c r="D125" s="7" t="s">
        <v>102</v>
      </c>
      <c r="E125" s="7">
        <v>4409900</v>
      </c>
      <c r="F125" s="7"/>
      <c r="G125" s="25">
        <f>G126</f>
        <v>14386.60501</v>
      </c>
    </row>
    <row r="126" spans="1:7" ht="15.75">
      <c r="A126" s="3"/>
      <c r="B126" s="2" t="s">
        <v>64</v>
      </c>
      <c r="C126" s="6" t="s">
        <v>85</v>
      </c>
      <c r="D126" s="7" t="s">
        <v>102</v>
      </c>
      <c r="E126" s="7">
        <v>4409900</v>
      </c>
      <c r="F126" s="7" t="s">
        <v>107</v>
      </c>
      <c r="G126" s="25">
        <f>'Бюджетная роспись на 27.09.2010'!I257/1000+'Бюджетная роспись на 27.09.2010'!I278/1000+40</f>
        <v>14386.60501</v>
      </c>
    </row>
    <row r="127" spans="1:8" ht="15.75">
      <c r="A127" s="3"/>
      <c r="B127" s="2" t="s">
        <v>65</v>
      </c>
      <c r="C127" s="6" t="s">
        <v>85</v>
      </c>
      <c r="D127" s="20" t="s">
        <v>103</v>
      </c>
      <c r="E127" s="20"/>
      <c r="F127" s="20"/>
      <c r="G127" s="24">
        <f>G128</f>
        <v>681</v>
      </c>
      <c r="H127" s="21"/>
    </row>
    <row r="128" spans="1:7" ht="15.75">
      <c r="A128" s="3"/>
      <c r="B128" s="2" t="s">
        <v>66</v>
      </c>
      <c r="C128" s="6" t="s">
        <v>85</v>
      </c>
      <c r="D128" s="7" t="s">
        <v>104</v>
      </c>
      <c r="E128" s="7"/>
      <c r="F128" s="7"/>
      <c r="G128" s="25">
        <f>G131+G129</f>
        <v>681</v>
      </c>
    </row>
    <row r="129" spans="1:7" ht="16.5" customHeight="1">
      <c r="A129" s="3"/>
      <c r="B129" s="4" t="s">
        <v>125</v>
      </c>
      <c r="C129" s="6" t="s">
        <v>85</v>
      </c>
      <c r="D129" s="7" t="s">
        <v>104</v>
      </c>
      <c r="E129" s="7" t="s">
        <v>124</v>
      </c>
      <c r="F129" s="7"/>
      <c r="G129" s="25">
        <f>G130</f>
        <v>10</v>
      </c>
    </row>
    <row r="130" spans="1:7" ht="15.75">
      <c r="A130" s="3"/>
      <c r="B130" s="2" t="s">
        <v>45</v>
      </c>
      <c r="C130" s="6" t="s">
        <v>85</v>
      </c>
      <c r="D130" s="7" t="s">
        <v>104</v>
      </c>
      <c r="E130" s="7" t="s">
        <v>124</v>
      </c>
      <c r="F130" s="7" t="s">
        <v>109</v>
      </c>
      <c r="G130" s="25">
        <v>10</v>
      </c>
    </row>
    <row r="131" spans="1:7" ht="15.75">
      <c r="A131" s="3"/>
      <c r="B131" s="2" t="s">
        <v>67</v>
      </c>
      <c r="C131" s="6" t="s">
        <v>85</v>
      </c>
      <c r="D131" s="7" t="s">
        <v>104</v>
      </c>
      <c r="E131" s="7">
        <v>5120000</v>
      </c>
      <c r="F131" s="7"/>
      <c r="G131" s="25">
        <f>G132</f>
        <v>671</v>
      </c>
    </row>
    <row r="132" spans="1:7" ht="15" customHeight="1">
      <c r="A132" s="3"/>
      <c r="B132" s="2" t="s">
        <v>68</v>
      </c>
      <c r="C132" s="6" t="s">
        <v>85</v>
      </c>
      <c r="D132" s="7" t="s">
        <v>104</v>
      </c>
      <c r="E132" s="7">
        <v>5129700</v>
      </c>
      <c r="F132" s="7"/>
      <c r="G132" s="25">
        <f>G133</f>
        <v>671</v>
      </c>
    </row>
    <row r="133" spans="1:7" ht="15.75">
      <c r="A133" s="3"/>
      <c r="B133" s="2" t="s">
        <v>14</v>
      </c>
      <c r="C133" s="6" t="s">
        <v>85</v>
      </c>
      <c r="D133" s="7" t="s">
        <v>104</v>
      </c>
      <c r="E133" s="7">
        <v>5129700</v>
      </c>
      <c r="F133" s="7">
        <v>500</v>
      </c>
      <c r="G133" s="25">
        <f>'Бюджетная роспись на 27.09.2010'!I199/1000</f>
        <v>671</v>
      </c>
    </row>
    <row r="134" spans="1:7" ht="15.75">
      <c r="A134" s="1"/>
      <c r="B134" s="2" t="s">
        <v>69</v>
      </c>
      <c r="C134" s="6" t="s">
        <v>85</v>
      </c>
      <c r="D134" s="20">
        <v>1000</v>
      </c>
      <c r="E134" s="7"/>
      <c r="F134" s="7"/>
      <c r="G134" s="24">
        <f>G135</f>
        <v>5595.1</v>
      </c>
    </row>
    <row r="135" spans="1:7" ht="15.75">
      <c r="A135" s="1"/>
      <c r="B135" s="2" t="s">
        <v>70</v>
      </c>
      <c r="C135" s="6" t="s">
        <v>85</v>
      </c>
      <c r="D135" s="7">
        <v>1003</v>
      </c>
      <c r="E135" s="7"/>
      <c r="F135" s="7"/>
      <c r="G135" s="25">
        <f>G136</f>
        <v>5595.1</v>
      </c>
    </row>
    <row r="136" spans="1:7" ht="15.75">
      <c r="A136" s="1"/>
      <c r="B136" s="2" t="s">
        <v>71</v>
      </c>
      <c r="C136" s="6" t="s">
        <v>85</v>
      </c>
      <c r="D136" s="7">
        <v>1003</v>
      </c>
      <c r="E136" s="7">
        <v>5053300</v>
      </c>
      <c r="F136" s="7"/>
      <c r="G136" s="25">
        <f>G137</f>
        <v>5595.1</v>
      </c>
    </row>
    <row r="137" spans="1:7" ht="15.75">
      <c r="A137" s="1"/>
      <c r="B137" s="2" t="s">
        <v>72</v>
      </c>
      <c r="C137" s="6" t="s">
        <v>85</v>
      </c>
      <c r="D137" s="7">
        <v>1003</v>
      </c>
      <c r="E137" s="10">
        <v>5053300</v>
      </c>
      <c r="F137" s="7"/>
      <c r="G137" s="25">
        <f>G138</f>
        <v>5595.1</v>
      </c>
    </row>
    <row r="138" spans="1:7" ht="15.75">
      <c r="A138" s="1"/>
      <c r="B138" s="2" t="s">
        <v>23</v>
      </c>
      <c r="C138" s="6" t="s">
        <v>85</v>
      </c>
      <c r="D138" s="7">
        <v>1003</v>
      </c>
      <c r="E138" s="10">
        <v>5053300</v>
      </c>
      <c r="F138" s="7" t="s">
        <v>105</v>
      </c>
      <c r="G138" s="25">
        <v>5595.1</v>
      </c>
    </row>
    <row r="139" spans="1:7" ht="15.75">
      <c r="A139" s="1"/>
      <c r="B139" s="2" t="s">
        <v>73</v>
      </c>
      <c r="C139" s="6" t="s">
        <v>85</v>
      </c>
      <c r="D139" s="20">
        <v>1100</v>
      </c>
      <c r="E139" s="7"/>
      <c r="F139" s="7"/>
      <c r="G139" s="24">
        <f>G140</f>
        <v>521.853</v>
      </c>
    </row>
    <row r="140" spans="1:7" ht="15.75">
      <c r="A140" s="1"/>
      <c r="B140" s="2" t="s">
        <v>74</v>
      </c>
      <c r="C140" s="6" t="s">
        <v>85</v>
      </c>
      <c r="D140" s="7">
        <v>1104</v>
      </c>
      <c r="E140" s="7"/>
      <c r="F140" s="7"/>
      <c r="G140" s="25">
        <f>G141</f>
        <v>521.853</v>
      </c>
    </row>
    <row r="141" spans="1:7" ht="15.75">
      <c r="A141" s="1"/>
      <c r="B141" s="2" t="s">
        <v>73</v>
      </c>
      <c r="C141" s="6" t="s">
        <v>85</v>
      </c>
      <c r="D141" s="7">
        <v>1104</v>
      </c>
      <c r="E141" s="7">
        <v>5210000</v>
      </c>
      <c r="F141" s="7"/>
      <c r="G141" s="25">
        <f>G142</f>
        <v>521.853</v>
      </c>
    </row>
    <row r="142" spans="1:7" ht="40.5" customHeight="1">
      <c r="A142" s="1"/>
      <c r="B142" s="4" t="s">
        <v>75</v>
      </c>
      <c r="C142" s="6" t="s">
        <v>85</v>
      </c>
      <c r="D142" s="7">
        <v>1104</v>
      </c>
      <c r="E142" s="7">
        <v>5210600</v>
      </c>
      <c r="F142" s="7"/>
      <c r="G142" s="25">
        <f>G143</f>
        <v>521.853</v>
      </c>
    </row>
    <row r="143" spans="1:7" ht="13.5" customHeight="1">
      <c r="A143" s="1"/>
      <c r="B143" s="2" t="s">
        <v>74</v>
      </c>
      <c r="C143" s="6" t="s">
        <v>85</v>
      </c>
      <c r="D143" s="7">
        <v>1104</v>
      </c>
      <c r="E143" s="7">
        <v>5210600</v>
      </c>
      <c r="F143" s="7" t="s">
        <v>106</v>
      </c>
      <c r="G143" s="25">
        <f>'Бюджетная роспись на 27.09.2010'!I216/1000</f>
        <v>521.853</v>
      </c>
    </row>
    <row r="144" spans="1:7" ht="15.75" hidden="1">
      <c r="A144" s="1"/>
      <c r="B144" s="2" t="s">
        <v>115</v>
      </c>
      <c r="C144" s="6" t="s">
        <v>85</v>
      </c>
      <c r="D144" s="20" t="s">
        <v>114</v>
      </c>
      <c r="E144" s="7"/>
      <c r="F144" s="7"/>
      <c r="G144" s="24">
        <f>G145</f>
        <v>0</v>
      </c>
    </row>
    <row r="145" spans="1:7" ht="15.75" hidden="1">
      <c r="A145" s="1"/>
      <c r="B145" s="2" t="s">
        <v>115</v>
      </c>
      <c r="C145" s="6" t="s">
        <v>85</v>
      </c>
      <c r="D145" s="7" t="s">
        <v>116</v>
      </c>
      <c r="E145" s="7"/>
      <c r="F145" s="7"/>
      <c r="G145" s="25">
        <f>G146</f>
        <v>0</v>
      </c>
    </row>
    <row r="146" spans="1:7" ht="0.75" customHeight="1">
      <c r="A146" s="1"/>
      <c r="B146" s="2" t="s">
        <v>115</v>
      </c>
      <c r="C146" s="6" t="s">
        <v>85</v>
      </c>
      <c r="D146" s="7" t="s">
        <v>116</v>
      </c>
      <c r="E146" s="7" t="s">
        <v>117</v>
      </c>
      <c r="F146" s="7"/>
      <c r="G146" s="25">
        <f>G147</f>
        <v>0</v>
      </c>
    </row>
    <row r="147" spans="1:7" ht="27" customHeight="1" hidden="1">
      <c r="A147" s="1"/>
      <c r="B147" s="2" t="s">
        <v>115</v>
      </c>
      <c r="C147" s="6" t="s">
        <v>85</v>
      </c>
      <c r="D147" s="7" t="s">
        <v>116</v>
      </c>
      <c r="E147" s="7" t="s">
        <v>117</v>
      </c>
      <c r="F147" s="7" t="s">
        <v>118</v>
      </c>
      <c r="G147" s="25">
        <v>0</v>
      </c>
    </row>
    <row r="148" spans="1:7" ht="12.75" customHeight="1">
      <c r="A148" s="1"/>
      <c r="B148" s="5" t="s">
        <v>76</v>
      </c>
      <c r="C148" s="26"/>
      <c r="D148" s="26"/>
      <c r="E148" s="26"/>
      <c r="F148" s="26"/>
      <c r="G148" s="24">
        <v>192727.2</v>
      </c>
    </row>
    <row r="149" ht="15.75">
      <c r="G149" s="24">
        <f>G139+G134+G127+G121+G114+G66+G55+G50+G46+G10</f>
        <v>192727.10430000004</v>
      </c>
    </row>
  </sheetData>
  <mergeCells count="7">
    <mergeCell ref="D4:G4"/>
    <mergeCell ref="F7:F8"/>
    <mergeCell ref="G7:G8"/>
    <mergeCell ref="B7:B8"/>
    <mergeCell ref="C7:C8"/>
    <mergeCell ref="D7:D8"/>
    <mergeCell ref="E7:E8"/>
  </mergeCells>
  <printOptions/>
  <pageMargins left="1.141732283464567" right="0.3937007874015748" top="0.7874015748031497" bottom="0.5905511811023623" header="0.5118110236220472" footer="0.275590551181102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25">
      <selection activeCell="H20" sqref="H20"/>
    </sheetView>
  </sheetViews>
  <sheetFormatPr defaultColWidth="9.00390625" defaultRowHeight="12.75"/>
  <cols>
    <col min="1" max="1" width="12.25390625" style="0" customWidth="1"/>
    <col min="2" max="2" width="2.75390625" style="0" customWidth="1"/>
    <col min="3" max="3" width="31.75390625" style="0" customWidth="1"/>
    <col min="4" max="4" width="12.00390625" style="0" customWidth="1"/>
    <col min="5" max="5" width="11.625" style="0" customWidth="1"/>
    <col min="6" max="6" width="11.875" style="0" customWidth="1"/>
    <col min="7" max="7" width="11.375" style="0" customWidth="1"/>
    <col min="8" max="8" width="16.125" style="0" customWidth="1"/>
  </cols>
  <sheetData>
    <row r="1" spans="6:8" ht="12.75">
      <c r="F1" s="283"/>
      <c r="G1" s="283"/>
      <c r="H1" s="283"/>
    </row>
    <row r="2" spans="1:8" ht="13.5">
      <c r="A2" s="195"/>
      <c r="B2" s="195"/>
      <c r="C2" s="196"/>
      <c r="H2" s="197" t="s">
        <v>247</v>
      </c>
    </row>
    <row r="3" spans="1:8" ht="13.5">
      <c r="A3" s="195"/>
      <c r="B3" s="195"/>
      <c r="C3" s="196"/>
      <c r="H3" s="198"/>
    </row>
    <row r="4" spans="1:8" ht="12.75" customHeight="1">
      <c r="A4" s="199"/>
      <c r="B4" s="199"/>
      <c r="C4" s="200"/>
      <c r="D4" s="200"/>
      <c r="E4" s="200"/>
      <c r="F4" s="200"/>
      <c r="H4" s="201" t="s">
        <v>248</v>
      </c>
    </row>
    <row r="5" spans="1:8" ht="21" customHeight="1">
      <c r="A5" s="199"/>
      <c r="B5" s="199"/>
      <c r="C5" s="200"/>
      <c r="D5" s="200"/>
      <c r="E5" s="200"/>
      <c r="F5" s="200"/>
      <c r="H5" s="201" t="s">
        <v>249</v>
      </c>
    </row>
    <row r="6" spans="1:8" ht="24" customHeight="1">
      <c r="A6" s="199"/>
      <c r="B6" s="199"/>
      <c r="C6" s="200"/>
      <c r="D6" s="200"/>
      <c r="E6" s="200"/>
      <c r="F6" s="200"/>
      <c r="H6" s="201" t="s">
        <v>250</v>
      </c>
    </row>
    <row r="7" spans="1:7" ht="15">
      <c r="A7" s="199"/>
      <c r="B7" s="199"/>
      <c r="C7" s="200"/>
      <c r="D7" s="200"/>
      <c r="E7" s="200"/>
      <c r="F7" s="200"/>
      <c r="G7" s="201"/>
    </row>
    <row r="8" spans="1:8" ht="15.75">
      <c r="A8" s="199"/>
      <c r="B8" s="199"/>
      <c r="C8" s="212" t="s">
        <v>251</v>
      </c>
      <c r="D8" s="200"/>
      <c r="E8" s="200"/>
      <c r="F8" s="200"/>
      <c r="G8" s="200"/>
      <c r="H8" s="201"/>
    </row>
    <row r="9" spans="1:8" ht="57.75" customHeight="1">
      <c r="A9" s="284" t="s">
        <v>261</v>
      </c>
      <c r="B9" s="285"/>
      <c r="C9" s="285"/>
      <c r="D9" s="285"/>
      <c r="E9" s="285"/>
      <c r="F9" s="285"/>
      <c r="G9" s="285"/>
      <c r="H9" s="285"/>
    </row>
    <row r="10" spans="1:8" ht="12.75">
      <c r="A10" s="211"/>
      <c r="B10" s="202"/>
      <c r="C10" s="196"/>
      <c r="H10" s="203"/>
    </row>
    <row r="12" spans="1:8" ht="12.75">
      <c r="A12" s="275" t="s">
        <v>240</v>
      </c>
      <c r="B12" s="277" t="s">
        <v>217</v>
      </c>
      <c r="C12" s="279" t="s">
        <v>202</v>
      </c>
      <c r="D12" s="287" t="s">
        <v>241</v>
      </c>
      <c r="E12" s="288"/>
      <c r="F12" s="288"/>
      <c r="G12" s="288"/>
      <c r="H12" s="289"/>
    </row>
    <row r="13" spans="1:8" ht="32.25" customHeight="1" thickBot="1">
      <c r="A13" s="276"/>
      <c r="B13" s="278"/>
      <c r="C13" s="280"/>
      <c r="D13" s="191" t="s">
        <v>242</v>
      </c>
      <c r="E13" s="192" t="s">
        <v>243</v>
      </c>
      <c r="F13" s="192" t="s">
        <v>244</v>
      </c>
      <c r="G13" s="192" t="s">
        <v>245</v>
      </c>
      <c r="H13" s="193" t="s">
        <v>246</v>
      </c>
    </row>
    <row r="14" spans="1:8" ht="90.75" customHeight="1" thickBot="1">
      <c r="A14" s="243" t="s">
        <v>299</v>
      </c>
      <c r="B14" s="221"/>
      <c r="C14" s="244" t="s">
        <v>300</v>
      </c>
      <c r="D14" s="191"/>
      <c r="E14" s="192"/>
      <c r="F14" s="192"/>
      <c r="G14" s="192"/>
      <c r="H14" s="193"/>
    </row>
    <row r="15" spans="1:8" ht="90.75" customHeight="1">
      <c r="A15" s="243" t="s">
        <v>299</v>
      </c>
      <c r="B15" s="221"/>
      <c r="C15" s="244" t="s">
        <v>300</v>
      </c>
      <c r="D15" s="191"/>
      <c r="E15" s="192"/>
      <c r="F15" s="192"/>
      <c r="G15" s="192"/>
      <c r="H15" s="193"/>
    </row>
    <row r="16" spans="1:8" ht="54.75" customHeight="1">
      <c r="A16" s="241" t="s">
        <v>302</v>
      </c>
      <c r="B16" s="221"/>
      <c r="C16" s="242" t="s">
        <v>301</v>
      </c>
      <c r="D16" s="191"/>
      <c r="E16" s="192"/>
      <c r="F16" s="192"/>
      <c r="G16" s="192"/>
      <c r="H16" s="193"/>
    </row>
    <row r="17" spans="1:8" ht="54.75" customHeight="1" thickBot="1">
      <c r="A17" s="241" t="s">
        <v>303</v>
      </c>
      <c r="B17" s="221"/>
      <c r="C17" s="242" t="s">
        <v>301</v>
      </c>
      <c r="D17" s="191"/>
      <c r="E17" s="192"/>
      <c r="F17" s="192"/>
      <c r="G17" s="192"/>
      <c r="H17" s="193"/>
    </row>
    <row r="18" spans="1:8" ht="54.75" customHeight="1">
      <c r="A18" s="246" t="s">
        <v>304</v>
      </c>
      <c r="B18" s="245"/>
      <c r="C18" s="250" t="s">
        <v>307</v>
      </c>
      <c r="D18" s="191"/>
      <c r="E18" s="192"/>
      <c r="F18" s="192"/>
      <c r="G18" s="192"/>
      <c r="H18" s="193"/>
    </row>
    <row r="19" spans="1:8" ht="45">
      <c r="A19" s="247" t="s">
        <v>305</v>
      </c>
      <c r="B19" s="248"/>
      <c r="C19" s="251" t="s">
        <v>308</v>
      </c>
      <c r="D19" s="204"/>
      <c r="E19" s="204"/>
      <c r="F19" s="205"/>
      <c r="G19" s="204"/>
      <c r="H19" s="204"/>
    </row>
    <row r="20" spans="1:8" ht="68.25" thickBot="1">
      <c r="A20" s="249" t="s">
        <v>306</v>
      </c>
      <c r="B20" s="194"/>
      <c r="C20" s="252" t="s">
        <v>309</v>
      </c>
      <c r="D20" s="204"/>
      <c r="E20" s="204"/>
      <c r="F20" s="205"/>
      <c r="G20" s="204"/>
      <c r="H20" s="204"/>
    </row>
    <row r="21" spans="1:8" ht="33.75">
      <c r="A21" s="255" t="s">
        <v>310</v>
      </c>
      <c r="B21" s="194"/>
      <c r="C21" s="256" t="s">
        <v>313</v>
      </c>
      <c r="D21" s="204"/>
      <c r="E21" s="204"/>
      <c r="F21" s="205"/>
      <c r="G21" s="204"/>
      <c r="H21" s="204"/>
    </row>
    <row r="22" spans="1:8" ht="78.75">
      <c r="A22" s="241" t="s">
        <v>311</v>
      </c>
      <c r="B22" s="194"/>
      <c r="C22" s="242" t="s">
        <v>314</v>
      </c>
      <c r="D22" s="204"/>
      <c r="E22" s="204"/>
      <c r="F22" s="205"/>
      <c r="G22" s="204"/>
      <c r="H22" s="204"/>
    </row>
    <row r="23" spans="1:17" ht="42" customHeight="1">
      <c r="A23" s="253" t="s">
        <v>312</v>
      </c>
      <c r="B23" s="4"/>
      <c r="C23" s="254" t="s">
        <v>315</v>
      </c>
      <c r="D23" s="204"/>
      <c r="E23" s="204"/>
      <c r="F23" s="208"/>
      <c r="G23" s="204"/>
      <c r="H23" s="204"/>
      <c r="J23" s="195"/>
      <c r="K23" s="195"/>
      <c r="L23" s="196"/>
      <c r="Q23" s="197" t="s">
        <v>247</v>
      </c>
    </row>
    <row r="24" spans="1:17" ht="13.5">
      <c r="A24" s="281" t="s">
        <v>246</v>
      </c>
      <c r="B24" s="281"/>
      <c r="C24" s="281"/>
      <c r="D24" s="281"/>
      <c r="E24" s="281"/>
      <c r="F24" s="281"/>
      <c r="G24" s="281"/>
      <c r="H24" s="210">
        <f>SUM(H19:H23)</f>
        <v>0</v>
      </c>
      <c r="J24" s="195"/>
      <c r="K24" s="195"/>
      <c r="L24" s="196"/>
      <c r="Q24" s="198"/>
    </row>
    <row r="25" spans="10:17" ht="15">
      <c r="J25" s="199"/>
      <c r="K25" s="199"/>
      <c r="L25" s="200"/>
      <c r="M25" s="200"/>
      <c r="N25" s="200"/>
      <c r="O25" s="200"/>
      <c r="Q25" s="201" t="s">
        <v>248</v>
      </c>
    </row>
    <row r="26" spans="1:17" ht="15">
      <c r="A26" s="286" t="s">
        <v>252</v>
      </c>
      <c r="B26" s="286"/>
      <c r="C26" s="286"/>
      <c r="D26" s="286"/>
      <c r="E26" s="286"/>
      <c r="F26" s="286"/>
      <c r="G26" s="286"/>
      <c r="H26" s="286"/>
      <c r="J26" s="199"/>
      <c r="K26" s="199"/>
      <c r="L26" s="200"/>
      <c r="M26" s="200"/>
      <c r="N26" s="200"/>
      <c r="O26" s="200"/>
      <c r="Q26" s="201" t="s">
        <v>249</v>
      </c>
    </row>
    <row r="27" spans="1:17" ht="15">
      <c r="A27" s="286" t="s">
        <v>257</v>
      </c>
      <c r="B27" s="286"/>
      <c r="C27" s="286"/>
      <c r="D27" s="286"/>
      <c r="E27" s="286"/>
      <c r="F27" s="286"/>
      <c r="G27" s="286"/>
      <c r="H27" s="286"/>
      <c r="J27" s="199"/>
      <c r="K27" s="199"/>
      <c r="L27" s="200"/>
      <c r="M27" s="200"/>
      <c r="N27" s="200"/>
      <c r="O27" s="200"/>
      <c r="Q27" s="201" t="s">
        <v>250</v>
      </c>
    </row>
    <row r="28" spans="1:16" ht="15">
      <c r="A28" s="282" t="s">
        <v>256</v>
      </c>
      <c r="B28" s="282"/>
      <c r="C28" s="282"/>
      <c r="D28" s="282"/>
      <c r="E28" s="282"/>
      <c r="F28" s="282"/>
      <c r="G28" s="282"/>
      <c r="H28" s="282"/>
      <c r="J28" s="199"/>
      <c r="K28" s="199"/>
      <c r="L28" s="200"/>
      <c r="M28" s="200"/>
      <c r="N28" s="200"/>
      <c r="O28" s="200"/>
      <c r="P28" s="201"/>
    </row>
    <row r="29" spans="1:17" ht="15">
      <c r="A29" s="282" t="s">
        <v>258</v>
      </c>
      <c r="B29" s="282"/>
      <c r="C29" s="282"/>
      <c r="D29" s="282"/>
      <c r="E29" s="282"/>
      <c r="F29" s="282"/>
      <c r="G29" s="282"/>
      <c r="H29" s="282"/>
      <c r="J29" s="199"/>
      <c r="K29" s="199"/>
      <c r="L29" s="201" t="s">
        <v>251</v>
      </c>
      <c r="M29" s="200"/>
      <c r="N29" s="200"/>
      <c r="O29" s="200"/>
      <c r="P29" s="200"/>
      <c r="Q29" s="201"/>
    </row>
    <row r="30" spans="2:17" ht="15">
      <c r="B30" s="213"/>
      <c r="C30" s="213"/>
      <c r="D30" s="213"/>
      <c r="E30" s="213"/>
      <c r="F30" s="213"/>
      <c r="G30" s="213"/>
      <c r="H30" s="213"/>
      <c r="J30" s="202" t="s">
        <v>264</v>
      </c>
      <c r="K30" s="202"/>
      <c r="L30" s="196"/>
      <c r="Q30" s="203"/>
    </row>
    <row r="31" spans="1:17" ht="12.75">
      <c r="A31" s="209"/>
      <c r="B31" s="209"/>
      <c r="C31" s="209"/>
      <c r="D31" s="209"/>
      <c r="E31" s="209"/>
      <c r="F31" s="209"/>
      <c r="G31" s="209"/>
      <c r="H31" s="209"/>
      <c r="J31" s="202" t="s">
        <v>265</v>
      </c>
      <c r="K31" s="202"/>
      <c r="L31" s="196"/>
      <c r="Q31" s="203"/>
    </row>
    <row r="32" spans="1:17" ht="12.75">
      <c r="A32" s="132" t="s">
        <v>253</v>
      </c>
      <c r="B32" s="132"/>
      <c r="C32" s="132"/>
      <c r="D32" s="132"/>
      <c r="E32" s="132"/>
      <c r="F32" s="132" t="s">
        <v>254</v>
      </c>
      <c r="G32" s="132"/>
      <c r="H32" s="132"/>
      <c r="J32" s="202" t="s">
        <v>266</v>
      </c>
      <c r="K32" s="202"/>
      <c r="L32" s="196"/>
      <c r="Q32" s="203"/>
    </row>
    <row r="33" spans="1:17" ht="12.75">
      <c r="A33" s="132"/>
      <c r="B33" s="132"/>
      <c r="C33" s="132"/>
      <c r="D33" s="132"/>
      <c r="E33" s="132"/>
      <c r="F33" s="132"/>
      <c r="G33" s="132"/>
      <c r="H33" s="132"/>
      <c r="J33" s="202" t="s">
        <v>267</v>
      </c>
      <c r="K33" s="202"/>
      <c r="L33" s="196"/>
      <c r="Q33" s="203"/>
    </row>
    <row r="34" spans="1:17" ht="25.5">
      <c r="A34" s="209" t="s">
        <v>255</v>
      </c>
      <c r="B34" s="209"/>
      <c r="C34" s="209"/>
      <c r="D34" s="209"/>
      <c r="E34" s="209"/>
      <c r="F34" s="272" t="s">
        <v>259</v>
      </c>
      <c r="G34" s="272"/>
      <c r="H34" s="272"/>
      <c r="J34" s="202" t="s">
        <v>268</v>
      </c>
      <c r="K34" s="202"/>
      <c r="L34" s="196"/>
      <c r="Q34" s="203"/>
    </row>
    <row r="35" spans="10:17" ht="12.75">
      <c r="J35" s="275" t="s">
        <v>240</v>
      </c>
      <c r="K35" s="277" t="s">
        <v>217</v>
      </c>
      <c r="L35" s="279" t="s">
        <v>202</v>
      </c>
      <c r="M35" s="273" t="s">
        <v>241</v>
      </c>
      <c r="N35" s="273"/>
      <c r="O35" s="273"/>
      <c r="P35" s="273"/>
      <c r="Q35" s="273"/>
    </row>
    <row r="36" spans="1:17" ht="15">
      <c r="A36" s="213" t="s">
        <v>260</v>
      </c>
      <c r="J36" s="276"/>
      <c r="K36" s="278"/>
      <c r="L36" s="280"/>
      <c r="M36" s="191" t="s">
        <v>242</v>
      </c>
      <c r="N36" s="192" t="s">
        <v>243</v>
      </c>
      <c r="O36" s="192" t="s">
        <v>244</v>
      </c>
      <c r="P36" s="192" t="s">
        <v>245</v>
      </c>
      <c r="Q36" s="193" t="s">
        <v>246</v>
      </c>
    </row>
    <row r="37" spans="10:17" ht="273">
      <c r="J37" s="194" t="s">
        <v>269</v>
      </c>
      <c r="K37" s="194"/>
      <c r="L37" s="222" t="s">
        <v>270</v>
      </c>
      <c r="M37" s="223">
        <v>0</v>
      </c>
      <c r="N37" s="224">
        <v>71853105</v>
      </c>
      <c r="O37" s="223">
        <v>0</v>
      </c>
      <c r="P37" s="223">
        <v>0</v>
      </c>
      <c r="Q37" s="225">
        <f>SUM(M37:P37)</f>
        <v>71853105</v>
      </c>
    </row>
    <row r="38" spans="10:17" ht="178.5">
      <c r="J38" s="194" t="s">
        <v>271</v>
      </c>
      <c r="K38" s="194"/>
      <c r="L38" s="222" t="s">
        <v>272</v>
      </c>
      <c r="M38" s="223">
        <v>0</v>
      </c>
      <c r="N38" s="225">
        <v>7257235</v>
      </c>
      <c r="O38" s="223">
        <v>0</v>
      </c>
      <c r="P38" s="223">
        <v>0</v>
      </c>
      <c r="Q38" s="225">
        <f aca="true" t="shared" si="0" ref="Q38:Q43">SUM(M38:P38)</f>
        <v>7257235</v>
      </c>
    </row>
    <row r="39" spans="10:17" ht="262.5">
      <c r="J39" s="194" t="s">
        <v>273</v>
      </c>
      <c r="K39" s="194"/>
      <c r="L39" s="222" t="s">
        <v>274</v>
      </c>
      <c r="M39" s="223">
        <v>0</v>
      </c>
      <c r="N39" s="224">
        <v>23070300</v>
      </c>
      <c r="O39" s="223">
        <v>0</v>
      </c>
      <c r="P39" s="223">
        <v>0</v>
      </c>
      <c r="Q39" s="225">
        <f t="shared" si="0"/>
        <v>23070300</v>
      </c>
    </row>
    <row r="40" spans="10:17" ht="178.5">
      <c r="J40" s="194" t="s">
        <v>275</v>
      </c>
      <c r="K40" s="194"/>
      <c r="L40" s="222" t="s">
        <v>276</v>
      </c>
      <c r="M40" s="223">
        <v>0</v>
      </c>
      <c r="N40" s="225">
        <v>2051000</v>
      </c>
      <c r="O40" s="223">
        <v>0</v>
      </c>
      <c r="P40" s="223">
        <v>0</v>
      </c>
      <c r="Q40" s="225">
        <f t="shared" si="0"/>
        <v>2051000</v>
      </c>
    </row>
    <row r="41" spans="10:17" ht="135">
      <c r="J41" s="194" t="s">
        <v>277</v>
      </c>
      <c r="K41" s="194"/>
      <c r="L41" s="226" t="s">
        <v>278</v>
      </c>
      <c r="M41" s="223">
        <v>0</v>
      </c>
      <c r="N41" s="223">
        <v>513250</v>
      </c>
      <c r="O41" s="223">
        <v>0</v>
      </c>
      <c r="P41" s="223">
        <v>0</v>
      </c>
      <c r="Q41" s="223">
        <f>SUM(M41:P41)</f>
        <v>513250</v>
      </c>
    </row>
    <row r="42" spans="10:17" ht="135">
      <c r="J42" s="194" t="s">
        <v>279</v>
      </c>
      <c r="K42" s="194"/>
      <c r="L42" s="206" t="s">
        <v>280</v>
      </c>
      <c r="M42" s="227">
        <v>0</v>
      </c>
      <c r="N42" s="227">
        <f>130500</f>
        <v>130500</v>
      </c>
      <c r="O42" s="228">
        <f>104900</f>
        <v>104900</v>
      </c>
      <c r="P42" s="228">
        <v>104900</v>
      </c>
      <c r="Q42" s="223">
        <f t="shared" si="0"/>
        <v>340300</v>
      </c>
    </row>
    <row r="43" spans="10:17" ht="157.5">
      <c r="J43" s="194" t="s">
        <v>281</v>
      </c>
      <c r="K43" s="194"/>
      <c r="L43" s="206" t="s">
        <v>282</v>
      </c>
      <c r="M43" s="227">
        <v>0</v>
      </c>
      <c r="N43" s="227">
        <v>185500</v>
      </c>
      <c r="O43" s="227">
        <v>0</v>
      </c>
      <c r="P43" s="227">
        <v>0</v>
      </c>
      <c r="Q43" s="223">
        <f t="shared" si="0"/>
        <v>185500</v>
      </c>
    </row>
    <row r="44" spans="10:17" ht="112.5">
      <c r="J44" s="229" t="s">
        <v>283</v>
      </c>
      <c r="K44" s="229"/>
      <c r="L44" s="230" t="s">
        <v>284</v>
      </c>
      <c r="M44" s="204">
        <v>0</v>
      </c>
      <c r="N44" s="231">
        <v>0</v>
      </c>
      <c r="O44" s="228">
        <v>-104900</v>
      </c>
      <c r="P44" s="228">
        <v>-104900</v>
      </c>
      <c r="Q44" s="223">
        <f aca="true" t="shared" si="1" ref="Q44:Q49">SUM(M44:P44)</f>
        <v>-209800</v>
      </c>
    </row>
    <row r="45" spans="10:17" ht="189">
      <c r="J45" s="194" t="s">
        <v>275</v>
      </c>
      <c r="K45" s="194"/>
      <c r="L45" s="232" t="s">
        <v>285</v>
      </c>
      <c r="M45" s="233">
        <v>0</v>
      </c>
      <c r="N45" s="227">
        <v>0</v>
      </c>
      <c r="O45" s="228">
        <f>-130500-200000+14500</f>
        <v>-316000</v>
      </c>
      <c r="P45" s="227">
        <v>0</v>
      </c>
      <c r="Q45" s="223">
        <f t="shared" si="1"/>
        <v>-316000</v>
      </c>
    </row>
    <row r="46" spans="10:17" ht="202.5">
      <c r="J46" s="207" t="s">
        <v>286</v>
      </c>
      <c r="K46" s="207"/>
      <c r="L46" s="206" t="s">
        <v>287</v>
      </c>
      <c r="M46" s="234">
        <v>-701050</v>
      </c>
      <c r="N46" s="235">
        <v>0</v>
      </c>
      <c r="O46" s="233">
        <v>0</v>
      </c>
      <c r="P46" s="233">
        <v>0</v>
      </c>
      <c r="Q46" s="223">
        <f t="shared" si="1"/>
        <v>-701050</v>
      </c>
    </row>
    <row r="47" spans="10:17" ht="157.5">
      <c r="J47" s="207" t="s">
        <v>288</v>
      </c>
      <c r="K47" s="207"/>
      <c r="L47" s="206" t="s">
        <v>289</v>
      </c>
      <c r="M47" s="233">
        <v>0</v>
      </c>
      <c r="N47" s="233">
        <v>701050</v>
      </c>
      <c r="O47" s="236">
        <v>0</v>
      </c>
      <c r="P47" s="233">
        <v>0</v>
      </c>
      <c r="Q47" s="223">
        <f t="shared" si="1"/>
        <v>701050</v>
      </c>
    </row>
    <row r="48" spans="10:17" ht="146.25">
      <c r="J48" s="237" t="s">
        <v>290</v>
      </c>
      <c r="K48" s="237"/>
      <c r="L48" s="206" t="s">
        <v>291</v>
      </c>
      <c r="M48" s="238">
        <v>0</v>
      </c>
      <c r="N48" s="235">
        <v>0</v>
      </c>
      <c r="O48" s="228">
        <v>-806360</v>
      </c>
      <c r="P48" s="233">
        <v>0</v>
      </c>
      <c r="Q48" s="223">
        <f t="shared" si="1"/>
        <v>-806360</v>
      </c>
    </row>
    <row r="49" spans="10:17" ht="258.75">
      <c r="J49" s="239" t="s">
        <v>292</v>
      </c>
      <c r="K49" s="239"/>
      <c r="L49" s="206" t="s">
        <v>293</v>
      </c>
      <c r="M49" s="238">
        <v>0</v>
      </c>
      <c r="N49" s="233">
        <v>806360</v>
      </c>
      <c r="O49" s="236">
        <v>0</v>
      </c>
      <c r="P49" s="233">
        <v>0</v>
      </c>
      <c r="Q49" s="223">
        <f t="shared" si="1"/>
        <v>806360</v>
      </c>
    </row>
    <row r="50" spans="10:17" ht="12.75">
      <c r="J50" s="273" t="s">
        <v>294</v>
      </c>
      <c r="K50" s="273"/>
      <c r="L50" s="273"/>
      <c r="M50" s="273"/>
      <c r="N50" s="273"/>
      <c r="O50" s="273"/>
      <c r="P50" s="273"/>
      <c r="Q50" s="240">
        <f>SUM(Q37:Q45)</f>
        <v>104744890</v>
      </c>
    </row>
    <row r="51" spans="10:17" ht="12.75">
      <c r="J51" s="274" t="s">
        <v>252</v>
      </c>
      <c r="K51" s="274"/>
      <c r="L51" s="274"/>
      <c r="M51" s="274"/>
      <c r="N51" s="274"/>
      <c r="O51" s="274"/>
      <c r="P51" s="274"/>
      <c r="Q51" s="274"/>
    </row>
    <row r="52" spans="10:17" ht="12.75">
      <c r="J52" s="274" t="s">
        <v>295</v>
      </c>
      <c r="K52" s="274"/>
      <c r="L52" s="274"/>
      <c r="M52" s="274"/>
      <c r="N52" s="274"/>
      <c r="O52" s="274"/>
      <c r="P52" s="274"/>
      <c r="Q52" s="274"/>
    </row>
    <row r="53" spans="10:17" ht="12.75">
      <c r="J53" s="272" t="s">
        <v>296</v>
      </c>
      <c r="K53" s="272"/>
      <c r="L53" s="272"/>
      <c r="M53" s="272"/>
      <c r="N53" s="272"/>
      <c r="O53" s="272"/>
      <c r="P53" s="272"/>
      <c r="Q53" s="272"/>
    </row>
    <row r="54" spans="10:17" ht="12.75">
      <c r="J54" s="272" t="s">
        <v>297</v>
      </c>
      <c r="K54" s="272"/>
      <c r="L54" s="272"/>
      <c r="M54" s="272"/>
      <c r="N54" s="272"/>
      <c r="O54" s="272"/>
      <c r="P54" s="272"/>
      <c r="Q54" s="272"/>
    </row>
    <row r="55" spans="10:17" ht="12.75">
      <c r="J55" s="132" t="s">
        <v>253</v>
      </c>
      <c r="K55" s="132"/>
      <c r="L55" s="132"/>
      <c r="M55" s="132"/>
      <c r="N55" s="132"/>
      <c r="O55" s="132" t="s">
        <v>254</v>
      </c>
      <c r="P55" s="132"/>
      <c r="Q55" s="132"/>
    </row>
    <row r="56" spans="10:17" ht="25.5">
      <c r="J56" s="209" t="s">
        <v>255</v>
      </c>
      <c r="K56" s="209"/>
      <c r="L56" s="209"/>
      <c r="M56" s="209"/>
      <c r="N56" s="209"/>
      <c r="O56" s="272" t="s">
        <v>298</v>
      </c>
      <c r="P56" s="272"/>
      <c r="Q56" s="272"/>
    </row>
  </sheetData>
  <mergeCells count="22">
    <mergeCell ref="F1:H1"/>
    <mergeCell ref="A9:H9"/>
    <mergeCell ref="A26:H26"/>
    <mergeCell ref="A27:H27"/>
    <mergeCell ref="A12:A13"/>
    <mergeCell ref="B12:B13"/>
    <mergeCell ref="C12:C13"/>
    <mergeCell ref="D12:H12"/>
    <mergeCell ref="F34:H34"/>
    <mergeCell ref="A24:G24"/>
    <mergeCell ref="A28:H28"/>
    <mergeCell ref="A29:H29"/>
    <mergeCell ref="J35:J36"/>
    <mergeCell ref="K35:K36"/>
    <mergeCell ref="L35:L36"/>
    <mergeCell ref="M35:Q35"/>
    <mergeCell ref="J54:Q54"/>
    <mergeCell ref="O56:Q56"/>
    <mergeCell ref="J50:P50"/>
    <mergeCell ref="J51:Q51"/>
    <mergeCell ref="J52:Q52"/>
    <mergeCell ref="J53:Q5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0"/>
  <sheetViews>
    <sheetView workbookViewId="0" topLeftCell="A181">
      <selection activeCell="B192" sqref="B192"/>
    </sheetView>
  </sheetViews>
  <sheetFormatPr defaultColWidth="9.00390625" defaultRowHeight="12.75"/>
  <cols>
    <col min="1" max="1" width="2.375" style="32" customWidth="1"/>
    <col min="2" max="2" width="54.125" style="32" customWidth="1"/>
    <col min="3" max="3" width="4.25390625" style="33" customWidth="1"/>
    <col min="4" max="4" width="4.625" style="33" customWidth="1"/>
    <col min="5" max="5" width="7.75390625" style="33" customWidth="1"/>
    <col min="6" max="6" width="3.875" style="33" customWidth="1"/>
    <col min="7" max="7" width="4.25390625" style="33" customWidth="1"/>
    <col min="8" max="8" width="2.25390625" style="151" customWidth="1"/>
    <col min="9" max="9" width="12.375" style="138" customWidth="1"/>
    <col min="10" max="10" width="12.75390625" style="32" customWidth="1"/>
    <col min="11" max="11" width="15.125" style="32" customWidth="1"/>
    <col min="12" max="12" width="12.875" style="32" customWidth="1"/>
    <col min="13" max="13" width="11.25390625" style="32" customWidth="1"/>
    <col min="14" max="14" width="16.875" style="32" customWidth="1"/>
    <col min="15" max="15" width="11.875" style="32" bestFit="1" customWidth="1"/>
    <col min="16" max="16384" width="9.125" style="32" customWidth="1"/>
  </cols>
  <sheetData>
    <row r="1" spans="1:9" ht="12.75" customHeight="1">
      <c r="A1" s="31" t="s">
        <v>144</v>
      </c>
      <c r="I1" s="146"/>
    </row>
    <row r="2" spans="1:9" ht="12.75" customHeight="1">
      <c r="A2" s="31" t="s">
        <v>145</v>
      </c>
      <c r="I2" s="146"/>
    </row>
    <row r="3" spans="1:9" ht="12.75" customHeight="1">
      <c r="A3" s="31" t="s">
        <v>146</v>
      </c>
      <c r="I3" s="146"/>
    </row>
    <row r="4" spans="1:9" ht="12.75" customHeight="1">
      <c r="A4" s="31" t="s">
        <v>147</v>
      </c>
      <c r="I4" s="146"/>
    </row>
    <row r="5" spans="1:9" ht="13.5" customHeight="1">
      <c r="A5" s="34" t="s">
        <v>148</v>
      </c>
      <c r="I5" s="147"/>
    </row>
    <row r="6" spans="1:9" ht="12.75" customHeight="1">
      <c r="A6" s="31" t="s">
        <v>149</v>
      </c>
      <c r="I6" s="147"/>
    </row>
    <row r="7" spans="1:9" ht="13.5" customHeight="1">
      <c r="A7" s="31" t="s">
        <v>150</v>
      </c>
      <c r="I7" s="147"/>
    </row>
    <row r="8" ht="3.75" customHeight="1">
      <c r="I8" s="147"/>
    </row>
    <row r="9" spans="3:9" ht="15" customHeight="1">
      <c r="C9" s="35" t="s">
        <v>143</v>
      </c>
      <c r="I9" s="146"/>
    </row>
    <row r="10" spans="3:13" ht="14.25" customHeight="1">
      <c r="C10" s="35" t="s">
        <v>142</v>
      </c>
      <c r="I10" s="146"/>
      <c r="M10" s="36" t="s">
        <v>151</v>
      </c>
    </row>
    <row r="11" spans="1:13" ht="27" customHeight="1">
      <c r="A11" s="299" t="s">
        <v>193</v>
      </c>
      <c r="B11" s="260" t="s">
        <v>2</v>
      </c>
      <c r="C11" s="261"/>
      <c r="D11" s="292" t="s">
        <v>3</v>
      </c>
      <c r="E11" s="262" t="s">
        <v>4</v>
      </c>
      <c r="F11" s="292" t="s">
        <v>5</v>
      </c>
      <c r="G11" s="290" t="s">
        <v>190</v>
      </c>
      <c r="H11" s="295" t="s">
        <v>217</v>
      </c>
      <c r="I11" s="293" t="s">
        <v>213</v>
      </c>
      <c r="J11" s="294" t="s">
        <v>152</v>
      </c>
      <c r="K11" s="294"/>
      <c r="L11" s="294"/>
      <c r="M11" s="294"/>
    </row>
    <row r="12" spans="1:13" ht="14.25" customHeight="1">
      <c r="A12" s="300"/>
      <c r="B12" s="260"/>
      <c r="C12" s="261"/>
      <c r="D12" s="292"/>
      <c r="E12" s="262"/>
      <c r="F12" s="292"/>
      <c r="G12" s="291"/>
      <c r="H12" s="296"/>
      <c r="I12" s="293"/>
      <c r="J12" s="38" t="s">
        <v>153</v>
      </c>
      <c r="K12" s="38" t="s">
        <v>154</v>
      </c>
      <c r="L12" s="38" t="s">
        <v>155</v>
      </c>
      <c r="M12" s="38" t="s">
        <v>156</v>
      </c>
    </row>
    <row r="13" spans="1:14" ht="42" customHeight="1">
      <c r="A13" s="37"/>
      <c r="B13" s="39" t="s">
        <v>180</v>
      </c>
      <c r="C13" s="40" t="s">
        <v>85</v>
      </c>
      <c r="D13" s="41"/>
      <c r="E13" s="41"/>
      <c r="F13" s="41"/>
      <c r="G13" s="42"/>
      <c r="H13" s="152"/>
      <c r="I13" s="181">
        <f>I14+I92+I99+I113+I185+I193+I204+I211+I81</f>
        <v>169836291.5</v>
      </c>
      <c r="J13" s="43">
        <f>J14+J92+J99+J113+J185+J193+J204+J211+J81</f>
        <v>10208447.698333334</v>
      </c>
      <c r="K13" s="43">
        <f>K14+K92+K99+K113+K185+K193+K204+K211+K81</f>
        <v>121136301.6225</v>
      </c>
      <c r="L13" s="43">
        <f>L14+L92+L99+L113+L185+L193+L204+L211+L81</f>
        <v>26512704.3725</v>
      </c>
      <c r="M13" s="183">
        <f>M14+M92+M99+M113+M185+M193+M204+M211+M81</f>
        <v>11968487.806666667</v>
      </c>
      <c r="N13" s="149"/>
    </row>
    <row r="14" spans="1:13" ht="15">
      <c r="A14" s="45"/>
      <c r="B14" s="39" t="s">
        <v>7</v>
      </c>
      <c r="C14" s="40"/>
      <c r="D14" s="41" t="s">
        <v>82</v>
      </c>
      <c r="E14" s="41"/>
      <c r="F14" s="41"/>
      <c r="G14" s="41"/>
      <c r="H14" s="153"/>
      <c r="I14" s="182">
        <f>I16+I34+I64+I70+I59+I55</f>
        <v>17329283.5</v>
      </c>
      <c r="J14" s="46">
        <f>J16+J34+J64+J70+J59</f>
        <v>3915191.368333333</v>
      </c>
      <c r="K14" s="46">
        <f>K16+K34+K64+K70+K59</f>
        <v>4703439.7925</v>
      </c>
      <c r="L14" s="46">
        <f>L16+L34+L64+L70+L59</f>
        <v>4527239.8125</v>
      </c>
      <c r="M14" s="46">
        <f>M16+M34+M64+M70+M59</f>
        <v>4183062.5266666664</v>
      </c>
    </row>
    <row r="15" spans="1:13" ht="13.5" customHeight="1">
      <c r="A15" s="45" t="s">
        <v>8</v>
      </c>
      <c r="B15" s="39" t="s">
        <v>9</v>
      </c>
      <c r="C15" s="40" t="s">
        <v>85</v>
      </c>
      <c r="D15" s="41"/>
      <c r="E15" s="41"/>
      <c r="F15" s="41"/>
      <c r="G15" s="41"/>
      <c r="H15" s="153"/>
      <c r="I15" s="140">
        <f>I16</f>
        <v>2100000</v>
      </c>
      <c r="J15" s="46">
        <f aca="true" t="shared" si="0" ref="J15:M16">J16</f>
        <v>479956.31833333336</v>
      </c>
      <c r="K15" s="46">
        <f t="shared" si="0"/>
        <v>524925.6025</v>
      </c>
      <c r="L15" s="46">
        <f t="shared" si="0"/>
        <v>524925.6025</v>
      </c>
      <c r="M15" s="46">
        <f t="shared" si="0"/>
        <v>570192.4766666667</v>
      </c>
    </row>
    <row r="16" spans="1:13" ht="29.25" customHeight="1">
      <c r="A16" s="45"/>
      <c r="B16" s="39" t="s">
        <v>10</v>
      </c>
      <c r="C16" s="40" t="s">
        <v>85</v>
      </c>
      <c r="D16" s="41" t="s">
        <v>83</v>
      </c>
      <c r="E16" s="41"/>
      <c r="F16" s="41"/>
      <c r="G16" s="41"/>
      <c r="H16" s="153"/>
      <c r="I16" s="140">
        <f>I17</f>
        <v>2100000</v>
      </c>
      <c r="J16" s="46">
        <f t="shared" si="0"/>
        <v>479956.31833333336</v>
      </c>
      <c r="K16" s="46">
        <f t="shared" si="0"/>
        <v>524925.6025</v>
      </c>
      <c r="L16" s="46">
        <f t="shared" si="0"/>
        <v>524925.6025</v>
      </c>
      <c r="M16" s="46">
        <f t="shared" si="0"/>
        <v>570192.4766666667</v>
      </c>
    </row>
    <row r="17" spans="1:13" ht="12.75" customHeight="1">
      <c r="A17" s="45"/>
      <c r="B17" s="39" t="s">
        <v>11</v>
      </c>
      <c r="C17" s="40" t="s">
        <v>85</v>
      </c>
      <c r="D17" s="41" t="s">
        <v>83</v>
      </c>
      <c r="E17" s="41" t="s">
        <v>80</v>
      </c>
      <c r="F17" s="41"/>
      <c r="G17" s="41"/>
      <c r="H17" s="153"/>
      <c r="I17" s="140">
        <f>I20+I29</f>
        <v>2100000</v>
      </c>
      <c r="J17" s="46">
        <f>J20+J29</f>
        <v>479956.31833333336</v>
      </c>
      <c r="K17" s="46">
        <f>K20+K29</f>
        <v>524925.6025</v>
      </c>
      <c r="L17" s="46">
        <f>L20+L29</f>
        <v>524925.6025</v>
      </c>
      <c r="M17" s="46">
        <f>M20+M29</f>
        <v>570192.4766666667</v>
      </c>
    </row>
    <row r="18" spans="1:13" ht="30">
      <c r="A18" s="45"/>
      <c r="B18" s="39" t="s">
        <v>12</v>
      </c>
      <c r="C18" s="40" t="s">
        <v>85</v>
      </c>
      <c r="D18" s="41" t="s">
        <v>83</v>
      </c>
      <c r="E18" s="41" t="s">
        <v>78</v>
      </c>
      <c r="F18" s="41"/>
      <c r="G18" s="41"/>
      <c r="H18" s="153"/>
      <c r="I18" s="140">
        <f>I19</f>
        <v>1326397.58</v>
      </c>
      <c r="J18" s="46">
        <f aca="true" t="shared" si="1" ref="J18:M19">J19</f>
        <v>351022.58</v>
      </c>
      <c r="K18" s="46">
        <f t="shared" si="1"/>
        <v>331525</v>
      </c>
      <c r="L18" s="46">
        <f t="shared" si="1"/>
        <v>331525</v>
      </c>
      <c r="M18" s="46">
        <f t="shared" si="1"/>
        <v>312325</v>
      </c>
    </row>
    <row r="19" spans="1:13" ht="30">
      <c r="A19" s="45"/>
      <c r="B19" s="39" t="s">
        <v>13</v>
      </c>
      <c r="C19" s="40" t="s">
        <v>85</v>
      </c>
      <c r="D19" s="41" t="s">
        <v>83</v>
      </c>
      <c r="E19" s="41" t="s">
        <v>78</v>
      </c>
      <c r="F19" s="41"/>
      <c r="G19" s="41"/>
      <c r="H19" s="153"/>
      <c r="I19" s="140">
        <f>I20</f>
        <v>1326397.58</v>
      </c>
      <c r="J19" s="46">
        <f t="shared" si="1"/>
        <v>351022.58</v>
      </c>
      <c r="K19" s="46">
        <f t="shared" si="1"/>
        <v>331525</v>
      </c>
      <c r="L19" s="46">
        <f t="shared" si="1"/>
        <v>331525</v>
      </c>
      <c r="M19" s="46">
        <f t="shared" si="1"/>
        <v>312325</v>
      </c>
    </row>
    <row r="20" spans="1:13" ht="30">
      <c r="A20" s="45"/>
      <c r="B20" s="39" t="s">
        <v>14</v>
      </c>
      <c r="C20" s="40" t="s">
        <v>85</v>
      </c>
      <c r="D20" s="41" t="s">
        <v>83</v>
      </c>
      <c r="E20" s="41" t="s">
        <v>78</v>
      </c>
      <c r="F20" s="41">
        <v>500</v>
      </c>
      <c r="G20" s="41"/>
      <c r="H20" s="153"/>
      <c r="I20" s="140">
        <f>SUM(I21:I27)</f>
        <v>1326397.58</v>
      </c>
      <c r="J20" s="46">
        <f>SUM(J21:J27)</f>
        <v>351022.58</v>
      </c>
      <c r="K20" s="46">
        <f>SUM(K21:K27)</f>
        <v>331525</v>
      </c>
      <c r="L20" s="46">
        <f>SUM(L21:L27)</f>
        <v>331525</v>
      </c>
      <c r="M20" s="46">
        <f>SUM(M21:M27)</f>
        <v>312325</v>
      </c>
    </row>
    <row r="21" spans="1:23" ht="14.25" customHeight="1">
      <c r="A21" s="45"/>
      <c r="B21" s="39" t="s">
        <v>157</v>
      </c>
      <c r="C21" s="47" t="s">
        <v>85</v>
      </c>
      <c r="D21" s="41" t="s">
        <v>83</v>
      </c>
      <c r="E21" s="41" t="s">
        <v>78</v>
      </c>
      <c r="F21" s="41">
        <v>500</v>
      </c>
      <c r="G21" s="47">
        <v>221</v>
      </c>
      <c r="H21" s="154"/>
      <c r="I21" s="140">
        <f>SUM(J21:M21)</f>
        <v>30000</v>
      </c>
      <c r="J21" s="46">
        <v>7500</v>
      </c>
      <c r="K21" s="46">
        <v>7500</v>
      </c>
      <c r="L21" s="46">
        <v>7500</v>
      </c>
      <c r="M21" s="46">
        <v>7500</v>
      </c>
      <c r="N21" s="48"/>
      <c r="O21" s="48"/>
      <c r="P21" s="48"/>
      <c r="Q21" s="49"/>
      <c r="R21" s="49"/>
      <c r="S21" s="49"/>
      <c r="T21" s="49"/>
      <c r="U21" s="49"/>
      <c r="V21" s="49"/>
      <c r="W21" s="50"/>
    </row>
    <row r="22" spans="1:23" ht="14.25" customHeight="1">
      <c r="A22" s="45"/>
      <c r="B22" s="39" t="s">
        <v>158</v>
      </c>
      <c r="C22" s="47" t="s">
        <v>85</v>
      </c>
      <c r="D22" s="41" t="s">
        <v>83</v>
      </c>
      <c r="E22" s="41" t="s">
        <v>78</v>
      </c>
      <c r="F22" s="41">
        <v>500</v>
      </c>
      <c r="G22" s="47">
        <v>222</v>
      </c>
      <c r="H22" s="154"/>
      <c r="I22" s="140">
        <f aca="true" t="shared" si="2" ref="I22:I27">SUM(J22:M22)</f>
        <v>6500</v>
      </c>
      <c r="J22" s="46">
        <v>1625</v>
      </c>
      <c r="K22" s="46">
        <v>1625</v>
      </c>
      <c r="L22" s="46">
        <v>1625</v>
      </c>
      <c r="M22" s="46">
        <v>1625</v>
      </c>
      <c r="N22" s="48"/>
      <c r="O22" s="48"/>
      <c r="P22" s="51"/>
      <c r="Q22" s="49"/>
      <c r="R22" s="49"/>
      <c r="S22" s="49"/>
      <c r="T22" s="49"/>
      <c r="U22" s="49"/>
      <c r="V22" s="49"/>
      <c r="W22" s="50"/>
    </row>
    <row r="23" spans="1:23" ht="14.25" customHeight="1">
      <c r="A23" s="45"/>
      <c r="B23" s="39" t="s">
        <v>159</v>
      </c>
      <c r="C23" s="47" t="s">
        <v>85</v>
      </c>
      <c r="D23" s="41" t="s">
        <v>83</v>
      </c>
      <c r="E23" s="41" t="s">
        <v>78</v>
      </c>
      <c r="F23" s="41">
        <v>500</v>
      </c>
      <c r="G23" s="47">
        <v>225</v>
      </c>
      <c r="H23" s="154"/>
      <c r="I23" s="140">
        <f t="shared" si="2"/>
        <v>15000</v>
      </c>
      <c r="J23" s="46">
        <v>3750</v>
      </c>
      <c r="K23" s="46">
        <v>3750</v>
      </c>
      <c r="L23" s="46">
        <v>3750</v>
      </c>
      <c r="M23" s="46">
        <v>3750</v>
      </c>
      <c r="N23" s="48"/>
      <c r="O23" s="48"/>
      <c r="P23" s="48"/>
      <c r="Q23" s="49"/>
      <c r="R23" s="49"/>
      <c r="S23" s="49"/>
      <c r="T23" s="49"/>
      <c r="U23" s="49"/>
      <c r="V23" s="49"/>
      <c r="W23" s="50"/>
    </row>
    <row r="24" spans="1:23" ht="15" customHeight="1">
      <c r="A24" s="45"/>
      <c r="B24" s="39" t="s">
        <v>160</v>
      </c>
      <c r="C24" s="47" t="s">
        <v>85</v>
      </c>
      <c r="D24" s="41" t="s">
        <v>83</v>
      </c>
      <c r="E24" s="41" t="s">
        <v>78</v>
      </c>
      <c r="F24" s="41">
        <v>500</v>
      </c>
      <c r="G24" s="47">
        <v>226</v>
      </c>
      <c r="H24" s="154"/>
      <c r="I24" s="140">
        <f t="shared" si="2"/>
        <v>1004600</v>
      </c>
      <c r="J24" s="46">
        <f>23750+151600+95000</f>
        <v>270350</v>
      </c>
      <c r="K24" s="46">
        <f>23750+227400</f>
        <v>251150</v>
      </c>
      <c r="L24" s="46">
        <f>23750+227400</f>
        <v>251150</v>
      </c>
      <c r="M24" s="46">
        <f>23750+303200-95000</f>
        <v>231950</v>
      </c>
      <c r="N24" s="48"/>
      <c r="O24" s="48"/>
      <c r="P24" s="48"/>
      <c r="Q24" s="49"/>
      <c r="R24" s="49"/>
      <c r="S24" s="49"/>
      <c r="T24" s="49"/>
      <c r="U24" s="49"/>
      <c r="V24" s="49"/>
      <c r="W24" s="50"/>
    </row>
    <row r="25" spans="1:23" ht="14.25" customHeight="1">
      <c r="A25" s="45"/>
      <c r="B25" s="39" t="s">
        <v>23</v>
      </c>
      <c r="C25" s="47" t="s">
        <v>85</v>
      </c>
      <c r="D25" s="41" t="s">
        <v>83</v>
      </c>
      <c r="E25" s="41" t="s">
        <v>78</v>
      </c>
      <c r="F25" s="41">
        <v>500</v>
      </c>
      <c r="G25" s="47">
        <v>290</v>
      </c>
      <c r="H25" s="154"/>
      <c r="I25" s="140">
        <f t="shared" si="2"/>
        <v>10000</v>
      </c>
      <c r="J25" s="46">
        <v>2500</v>
      </c>
      <c r="K25" s="46">
        <v>2500</v>
      </c>
      <c r="L25" s="46">
        <v>2500</v>
      </c>
      <c r="M25" s="46">
        <v>2500</v>
      </c>
      <c r="N25" s="48"/>
      <c r="O25" s="48"/>
      <c r="P25" s="48"/>
      <c r="Q25" s="49"/>
      <c r="R25" s="49"/>
      <c r="S25" s="49"/>
      <c r="T25" s="49"/>
      <c r="U25" s="49"/>
      <c r="V25" s="49"/>
      <c r="W25" s="50"/>
    </row>
    <row r="26" spans="1:23" ht="14.25" customHeight="1">
      <c r="A26" s="45"/>
      <c r="B26" s="39" t="s">
        <v>161</v>
      </c>
      <c r="C26" s="47" t="s">
        <v>85</v>
      </c>
      <c r="D26" s="41" t="s">
        <v>83</v>
      </c>
      <c r="E26" s="41" t="s">
        <v>78</v>
      </c>
      <c r="F26" s="41">
        <v>500</v>
      </c>
      <c r="G26" s="47">
        <v>310</v>
      </c>
      <c r="H26" s="154"/>
      <c r="I26" s="140">
        <f t="shared" si="2"/>
        <v>159424</v>
      </c>
      <c r="J26" s="46">
        <f>9424+30000</f>
        <v>39424</v>
      </c>
      <c r="K26" s="46">
        <f>10000+30000</f>
        <v>40000</v>
      </c>
      <c r="L26" s="46">
        <f>10000+30000</f>
        <v>40000</v>
      </c>
      <c r="M26" s="46">
        <f>10000+30000</f>
        <v>40000</v>
      </c>
      <c r="N26" s="48"/>
      <c r="O26" s="48"/>
      <c r="P26" s="48"/>
      <c r="Q26" s="49"/>
      <c r="R26" s="49"/>
      <c r="S26" s="49"/>
      <c r="T26" s="49"/>
      <c r="U26" s="49"/>
      <c r="V26" s="49"/>
      <c r="W26" s="50"/>
    </row>
    <row r="27" spans="1:23" ht="12.75" customHeight="1">
      <c r="A27" s="45"/>
      <c r="B27" s="39" t="s">
        <v>162</v>
      </c>
      <c r="C27" s="47" t="s">
        <v>85</v>
      </c>
      <c r="D27" s="41" t="s">
        <v>83</v>
      </c>
      <c r="E27" s="41" t="s">
        <v>78</v>
      </c>
      <c r="F27" s="41">
        <v>500</v>
      </c>
      <c r="G27" s="47">
        <v>340</v>
      </c>
      <c r="H27" s="154"/>
      <c r="I27" s="140">
        <f t="shared" si="2"/>
        <v>100873.58</v>
      </c>
      <c r="J27" s="46">
        <v>25873.58</v>
      </c>
      <c r="K27" s="46">
        <v>25000</v>
      </c>
      <c r="L27" s="46">
        <v>25000</v>
      </c>
      <c r="M27" s="46">
        <v>25000</v>
      </c>
      <c r="N27" s="48"/>
      <c r="O27" s="48"/>
      <c r="P27" s="48"/>
      <c r="Q27" s="50"/>
      <c r="R27" s="50"/>
      <c r="S27" s="50"/>
      <c r="T27" s="50"/>
      <c r="U27" s="50"/>
      <c r="V27" s="50"/>
      <c r="W27" s="50"/>
    </row>
    <row r="28" spans="1:13" ht="30">
      <c r="A28" s="45"/>
      <c r="B28" s="39" t="s">
        <v>15</v>
      </c>
      <c r="C28" s="40" t="s">
        <v>85</v>
      </c>
      <c r="D28" s="41" t="s">
        <v>83</v>
      </c>
      <c r="E28" s="41" t="s">
        <v>79</v>
      </c>
      <c r="F28" s="41"/>
      <c r="G28" s="41"/>
      <c r="H28" s="155"/>
      <c r="I28" s="141">
        <f>I29</f>
        <v>773602.4199999999</v>
      </c>
      <c r="J28" s="52">
        <f>J29</f>
        <v>128933.73833333333</v>
      </c>
      <c r="K28" s="46">
        <f>K29</f>
        <v>193400.6025</v>
      </c>
      <c r="L28" s="46">
        <f>L29</f>
        <v>193400.6025</v>
      </c>
      <c r="M28" s="46">
        <f>M29</f>
        <v>257867.47666666665</v>
      </c>
    </row>
    <row r="29" spans="1:13" ht="30">
      <c r="A29" s="45"/>
      <c r="B29" s="39" t="s">
        <v>14</v>
      </c>
      <c r="C29" s="40" t="s">
        <v>85</v>
      </c>
      <c r="D29" s="41" t="s">
        <v>83</v>
      </c>
      <c r="E29" s="41" t="s">
        <v>79</v>
      </c>
      <c r="F29" s="41">
        <v>500</v>
      </c>
      <c r="G29" s="53"/>
      <c r="H29" s="156"/>
      <c r="I29" s="140">
        <f>SUM(I30:I32)</f>
        <v>773602.4199999999</v>
      </c>
      <c r="J29" s="54">
        <f>SUM(J30:J32)</f>
        <v>128933.73833333333</v>
      </c>
      <c r="K29" s="54">
        <f>SUM(K30:K32)</f>
        <v>193400.6025</v>
      </c>
      <c r="L29" s="54">
        <f>SUM(L30:L32)</f>
        <v>193400.6025</v>
      </c>
      <c r="M29" s="54">
        <f>SUM(M30:M32)</f>
        <v>257867.47666666665</v>
      </c>
    </row>
    <row r="30" spans="1:16" ht="30">
      <c r="A30" s="45"/>
      <c r="B30" s="39" t="s">
        <v>166</v>
      </c>
      <c r="C30" s="40" t="s">
        <v>85</v>
      </c>
      <c r="D30" s="41" t="s">
        <v>83</v>
      </c>
      <c r="E30" s="41" t="s">
        <v>79</v>
      </c>
      <c r="F30" s="41">
        <v>500</v>
      </c>
      <c r="G30" s="53" t="s">
        <v>163</v>
      </c>
      <c r="H30" s="157"/>
      <c r="I30" s="141">
        <v>590176.25</v>
      </c>
      <c r="J30" s="69">
        <f>590176.25/12*2</f>
        <v>98362.70833333333</v>
      </c>
      <c r="K30" s="69">
        <f>590176.25/12*3</f>
        <v>147544.0625</v>
      </c>
      <c r="L30" s="69">
        <f>590176.25/12*3</f>
        <v>147544.0625</v>
      </c>
      <c r="M30" s="69">
        <f>590176.25/12*4</f>
        <v>196725.41666666666</v>
      </c>
      <c r="N30" s="48"/>
      <c r="O30" s="48"/>
      <c r="P30" s="48"/>
    </row>
    <row r="31" spans="1:16" ht="30">
      <c r="A31" s="45"/>
      <c r="B31" s="39" t="s">
        <v>167</v>
      </c>
      <c r="C31" s="40" t="s">
        <v>85</v>
      </c>
      <c r="D31" s="41" t="s">
        <v>83</v>
      </c>
      <c r="E31" s="41" t="s">
        <v>79</v>
      </c>
      <c r="F31" s="41">
        <v>500</v>
      </c>
      <c r="G31" s="53" t="s">
        <v>164</v>
      </c>
      <c r="H31" s="157"/>
      <c r="I31" s="141">
        <f>SUM(J31:M31)</f>
        <v>28800</v>
      </c>
      <c r="J31" s="69">
        <f>28800/12*2</f>
        <v>4800</v>
      </c>
      <c r="K31" s="69">
        <f>28800/12*3</f>
        <v>7200</v>
      </c>
      <c r="L31" s="69">
        <f>28800/12*3</f>
        <v>7200</v>
      </c>
      <c r="M31" s="69">
        <f>28800/12*4</f>
        <v>9600</v>
      </c>
      <c r="N31" s="48"/>
      <c r="O31" s="48"/>
      <c r="P31" s="48"/>
    </row>
    <row r="32" spans="1:13" ht="30">
      <c r="A32" s="45"/>
      <c r="B32" s="39" t="s">
        <v>168</v>
      </c>
      <c r="C32" s="40" t="s">
        <v>85</v>
      </c>
      <c r="D32" s="41" t="s">
        <v>83</v>
      </c>
      <c r="E32" s="41" t="s">
        <v>79</v>
      </c>
      <c r="F32" s="41">
        <v>500</v>
      </c>
      <c r="G32" s="53" t="s">
        <v>165</v>
      </c>
      <c r="H32" s="157"/>
      <c r="I32" s="141">
        <f>SUM(J32:M32)</f>
        <v>154626.16999999998</v>
      </c>
      <c r="J32" s="69">
        <v>25771.03</v>
      </c>
      <c r="K32" s="69">
        <v>38656.54</v>
      </c>
      <c r="L32" s="69">
        <v>38656.54</v>
      </c>
      <c r="M32" s="69">
        <v>51542.06</v>
      </c>
    </row>
    <row r="33" spans="1:13" ht="27.75" customHeight="1">
      <c r="A33" s="45" t="s">
        <v>16</v>
      </c>
      <c r="B33" s="39" t="s">
        <v>17</v>
      </c>
      <c r="C33" s="40" t="s">
        <v>85</v>
      </c>
      <c r="D33" s="41"/>
      <c r="E33" s="41"/>
      <c r="F33" s="41"/>
      <c r="G33" s="53"/>
      <c r="H33" s="157"/>
      <c r="I33" s="141">
        <f>I34</f>
        <v>12796433.5</v>
      </c>
      <c r="J33" s="52">
        <f aca="true" t="shared" si="3" ref="J33:M34">J34</f>
        <v>2913735.05</v>
      </c>
      <c r="K33" s="52">
        <f t="shared" si="3"/>
        <v>3244814.19</v>
      </c>
      <c r="L33" s="52">
        <f t="shared" si="3"/>
        <v>3139914.2100000004</v>
      </c>
      <c r="M33" s="46">
        <f t="shared" si="3"/>
        <v>3497970.05</v>
      </c>
    </row>
    <row r="34" spans="1:13" ht="38.25" customHeight="1">
      <c r="A34" s="45"/>
      <c r="B34" s="4" t="s">
        <v>18</v>
      </c>
      <c r="C34" s="40" t="s">
        <v>85</v>
      </c>
      <c r="D34" s="41" t="s">
        <v>84</v>
      </c>
      <c r="E34" s="41"/>
      <c r="F34" s="41"/>
      <c r="G34" s="41"/>
      <c r="H34" s="153"/>
      <c r="I34" s="140">
        <f>I35</f>
        <v>12796433.5</v>
      </c>
      <c r="J34" s="46">
        <f t="shared" si="3"/>
        <v>2913735.05</v>
      </c>
      <c r="K34" s="46">
        <f t="shared" si="3"/>
        <v>3244814.19</v>
      </c>
      <c r="L34" s="46">
        <f t="shared" si="3"/>
        <v>3139914.2100000004</v>
      </c>
      <c r="M34" s="46">
        <f t="shared" si="3"/>
        <v>3497970.05</v>
      </c>
    </row>
    <row r="35" spans="1:13" ht="16.5" customHeight="1">
      <c r="A35" s="45"/>
      <c r="B35" s="39" t="s">
        <v>11</v>
      </c>
      <c r="C35" s="40" t="s">
        <v>85</v>
      </c>
      <c r="D35" s="41" t="s">
        <v>84</v>
      </c>
      <c r="E35" s="41" t="s">
        <v>80</v>
      </c>
      <c r="F35" s="41"/>
      <c r="G35" s="41"/>
      <c r="H35" s="153"/>
      <c r="I35" s="140">
        <f>I36+I50</f>
        <v>12796433.5</v>
      </c>
      <c r="J35" s="46">
        <f>J36+J50</f>
        <v>2913735.05</v>
      </c>
      <c r="K35" s="46">
        <f>K36+K50</f>
        <v>3244814.19</v>
      </c>
      <c r="L35" s="46">
        <f>L36+L50</f>
        <v>3139914.2100000004</v>
      </c>
      <c r="M35" s="46">
        <f>M36+M50</f>
        <v>3497970.05</v>
      </c>
    </row>
    <row r="36" spans="1:13" ht="30">
      <c r="A36" s="45"/>
      <c r="B36" s="39" t="s">
        <v>12</v>
      </c>
      <c r="C36" s="40" t="s">
        <v>85</v>
      </c>
      <c r="D36" s="41" t="s">
        <v>84</v>
      </c>
      <c r="E36" s="41" t="s">
        <v>78</v>
      </c>
      <c r="F36" s="41"/>
      <c r="G36" s="41"/>
      <c r="H36" s="153"/>
      <c r="I36" s="140">
        <f>I37</f>
        <v>11704433.5</v>
      </c>
      <c r="J36" s="46">
        <f aca="true" t="shared" si="4" ref="J36:M37">J37</f>
        <v>2731735.05</v>
      </c>
      <c r="K36" s="46">
        <f t="shared" si="4"/>
        <v>2971814.19</v>
      </c>
      <c r="L36" s="46">
        <f t="shared" si="4"/>
        <v>2866914.2100000004</v>
      </c>
      <c r="M36" s="46">
        <f t="shared" si="4"/>
        <v>3133970.05</v>
      </c>
    </row>
    <row r="37" spans="1:13" ht="27" customHeight="1">
      <c r="A37" s="45"/>
      <c r="B37" s="39" t="s">
        <v>13</v>
      </c>
      <c r="C37" s="40" t="s">
        <v>85</v>
      </c>
      <c r="D37" s="41" t="s">
        <v>84</v>
      </c>
      <c r="E37" s="41" t="s">
        <v>78</v>
      </c>
      <c r="F37" s="41"/>
      <c r="G37" s="41"/>
      <c r="H37" s="153"/>
      <c r="I37" s="140">
        <f>I38</f>
        <v>11704433.5</v>
      </c>
      <c r="J37" s="46">
        <f t="shared" si="4"/>
        <v>2731735.05</v>
      </c>
      <c r="K37" s="46">
        <f t="shared" si="4"/>
        <v>2971814.19</v>
      </c>
      <c r="L37" s="46">
        <f t="shared" si="4"/>
        <v>2866914.2100000004</v>
      </c>
      <c r="M37" s="46">
        <f t="shared" si="4"/>
        <v>3133970.05</v>
      </c>
    </row>
    <row r="38" spans="1:13" ht="30">
      <c r="A38" s="45"/>
      <c r="B38" s="39" t="s">
        <v>14</v>
      </c>
      <c r="C38" s="40" t="s">
        <v>85</v>
      </c>
      <c r="D38" s="41" t="s">
        <v>84</v>
      </c>
      <c r="E38" s="41" t="s">
        <v>78</v>
      </c>
      <c r="F38" s="41">
        <v>500</v>
      </c>
      <c r="G38" s="41"/>
      <c r="H38" s="153"/>
      <c r="I38" s="140">
        <f>SUM(I39:I49)</f>
        <v>11704433.5</v>
      </c>
      <c r="J38" s="46">
        <f>SUM(J39:J49)</f>
        <v>2731735.05</v>
      </c>
      <c r="K38" s="46">
        <f>SUM(K39:K49)</f>
        <v>2971814.19</v>
      </c>
      <c r="L38" s="46">
        <f>SUM(L39:L49)</f>
        <v>2866914.2100000004</v>
      </c>
      <c r="M38" s="46">
        <f>SUM(M39:M49)</f>
        <v>3133970.05</v>
      </c>
    </row>
    <row r="39" spans="1:16" ht="30">
      <c r="A39" s="45"/>
      <c r="B39" s="55" t="s">
        <v>167</v>
      </c>
      <c r="C39" s="40" t="s">
        <v>85</v>
      </c>
      <c r="D39" s="41" t="s">
        <v>84</v>
      </c>
      <c r="E39" s="41" t="s">
        <v>78</v>
      </c>
      <c r="F39" s="41">
        <v>500</v>
      </c>
      <c r="G39" s="41" t="s">
        <v>164</v>
      </c>
      <c r="H39" s="153"/>
      <c r="I39" s="140">
        <f aca="true" t="shared" si="5" ref="I39:I44">SUM(J39:M39)</f>
        <v>26400</v>
      </c>
      <c r="J39" s="46">
        <f>11550-4950</f>
        <v>6600</v>
      </c>
      <c r="K39" s="46">
        <f>17325-10725</f>
        <v>6600</v>
      </c>
      <c r="L39" s="46">
        <f>17325-10725</f>
        <v>6600</v>
      </c>
      <c r="M39" s="46">
        <f>23100-16500</f>
        <v>6600</v>
      </c>
      <c r="N39" s="48"/>
      <c r="O39" s="48"/>
      <c r="P39" s="48"/>
    </row>
    <row r="40" spans="1:16" ht="30">
      <c r="A40" s="45"/>
      <c r="B40" s="39" t="s">
        <v>157</v>
      </c>
      <c r="C40" s="40" t="s">
        <v>85</v>
      </c>
      <c r="D40" s="41" t="s">
        <v>84</v>
      </c>
      <c r="E40" s="41" t="s">
        <v>78</v>
      </c>
      <c r="F40" s="41">
        <v>500</v>
      </c>
      <c r="G40" s="41" t="s">
        <v>170</v>
      </c>
      <c r="H40" s="153"/>
      <c r="I40" s="140">
        <f t="shared" si="5"/>
        <v>424830</v>
      </c>
      <c r="J40" s="46">
        <f>448830/4-6000</f>
        <v>106207.5</v>
      </c>
      <c r="K40" s="46">
        <f>448830/4-6000</f>
        <v>106207.5</v>
      </c>
      <c r="L40" s="46">
        <f>448830/4-6000</f>
        <v>106207.5</v>
      </c>
      <c r="M40" s="46">
        <f>448830/4-6000</f>
        <v>106207.5</v>
      </c>
      <c r="N40" s="48"/>
      <c r="O40" s="48"/>
      <c r="P40" s="48"/>
    </row>
    <row r="41" spans="1:16" ht="30">
      <c r="A41" s="45"/>
      <c r="B41" s="39" t="s">
        <v>158</v>
      </c>
      <c r="C41" s="40" t="s">
        <v>85</v>
      </c>
      <c r="D41" s="41" t="s">
        <v>84</v>
      </c>
      <c r="E41" s="41" t="s">
        <v>78</v>
      </c>
      <c r="F41" s="41">
        <v>500</v>
      </c>
      <c r="G41" s="41" t="s">
        <v>171</v>
      </c>
      <c r="H41" s="153"/>
      <c r="I41" s="140">
        <f t="shared" si="5"/>
        <v>12800.72</v>
      </c>
      <c r="J41" s="46">
        <f>3200.72</f>
        <v>3200.72</v>
      </c>
      <c r="K41" s="46">
        <v>3200</v>
      </c>
      <c r="L41" s="46">
        <v>3200</v>
      </c>
      <c r="M41" s="46">
        <v>3200</v>
      </c>
      <c r="N41" s="48"/>
      <c r="O41" s="48"/>
      <c r="P41" s="48"/>
    </row>
    <row r="42" spans="1:16" ht="30">
      <c r="A42" s="45"/>
      <c r="B42" s="55" t="s">
        <v>169</v>
      </c>
      <c r="C42" s="40" t="s">
        <v>85</v>
      </c>
      <c r="D42" s="41" t="s">
        <v>84</v>
      </c>
      <c r="E42" s="41" t="s">
        <v>78</v>
      </c>
      <c r="F42" s="41">
        <v>500</v>
      </c>
      <c r="G42" s="41" t="s">
        <v>172</v>
      </c>
      <c r="H42" s="153"/>
      <c r="I42" s="140">
        <f t="shared" si="5"/>
        <v>289345.58</v>
      </c>
      <c r="J42" s="46">
        <f>48224.26+30000+4200</f>
        <v>82424.26000000001</v>
      </c>
      <c r="K42" s="46">
        <f>72336.4-10000</f>
        <v>62336.399999999994</v>
      </c>
      <c r="L42" s="46">
        <f>72336.4-10000</f>
        <v>62336.399999999994</v>
      </c>
      <c r="M42" s="46">
        <f>96448.52-10000-4200</f>
        <v>82248.52</v>
      </c>
      <c r="N42" s="48"/>
      <c r="O42" s="48"/>
      <c r="P42" s="48"/>
    </row>
    <row r="43" spans="1:16" ht="30">
      <c r="A43" s="45"/>
      <c r="B43" s="39" t="s">
        <v>159</v>
      </c>
      <c r="C43" s="40" t="s">
        <v>85</v>
      </c>
      <c r="D43" s="41" t="s">
        <v>84</v>
      </c>
      <c r="E43" s="41" t="s">
        <v>78</v>
      </c>
      <c r="F43" s="41">
        <v>500</v>
      </c>
      <c r="G43" s="41" t="s">
        <v>173</v>
      </c>
      <c r="H43" s="153"/>
      <c r="I43" s="140">
        <f t="shared" si="5"/>
        <v>545800</v>
      </c>
      <c r="J43" s="46">
        <f>595800/4</f>
        <v>148950</v>
      </c>
      <c r="K43" s="46">
        <f>595800/4</f>
        <v>148950</v>
      </c>
      <c r="L43" s="46">
        <f>595800/4</f>
        <v>148950</v>
      </c>
      <c r="M43" s="46">
        <f>595800/4-50000</f>
        <v>98950</v>
      </c>
      <c r="N43" s="48"/>
      <c r="O43" s="48"/>
      <c r="P43" s="48"/>
    </row>
    <row r="44" spans="1:16" ht="30">
      <c r="A44" s="45"/>
      <c r="B44" s="39" t="s">
        <v>160</v>
      </c>
      <c r="C44" s="40" t="s">
        <v>85</v>
      </c>
      <c r="D44" s="41" t="s">
        <v>84</v>
      </c>
      <c r="E44" s="41" t="s">
        <v>78</v>
      </c>
      <c r="F44" s="41">
        <v>500</v>
      </c>
      <c r="G44" s="41" t="s">
        <v>174</v>
      </c>
      <c r="H44" s="153"/>
      <c r="I44" s="140">
        <f t="shared" si="5"/>
        <v>3514383</v>
      </c>
      <c r="J44" s="46">
        <f>3865010.4/4-100000</f>
        <v>866252.6</v>
      </c>
      <c r="K44" s="46">
        <f>3865010.4/4</f>
        <v>966252.6</v>
      </c>
      <c r="L44" s="46">
        <f>3865010.4/4-104900</f>
        <v>861352.6</v>
      </c>
      <c r="M44" s="46">
        <f>3865010.4/4+33172.6-50000-24000-104900</f>
        <v>820525.2</v>
      </c>
      <c r="N44" s="48"/>
      <c r="O44" s="48"/>
      <c r="P44" s="48"/>
    </row>
    <row r="45" spans="1:16" ht="30">
      <c r="A45" s="45"/>
      <c r="B45" s="39" t="s">
        <v>23</v>
      </c>
      <c r="C45" s="40" t="s">
        <v>85</v>
      </c>
      <c r="D45" s="41" t="s">
        <v>84</v>
      </c>
      <c r="E45" s="41" t="s">
        <v>78</v>
      </c>
      <c r="F45" s="41">
        <v>500</v>
      </c>
      <c r="G45" s="41" t="s">
        <v>175</v>
      </c>
      <c r="H45" s="153"/>
      <c r="I45" s="140">
        <f>SUM(J45:M45)</f>
        <v>76217.3</v>
      </c>
      <c r="J45" s="46">
        <f>19054.32</f>
        <v>19054.32</v>
      </c>
      <c r="K45" s="46">
        <v>19054.32</v>
      </c>
      <c r="L45" s="46">
        <v>19054.33</v>
      </c>
      <c r="M45" s="46">
        <v>19054.33</v>
      </c>
      <c r="N45" s="48"/>
      <c r="O45" s="48"/>
      <c r="P45" s="48"/>
    </row>
    <row r="46" spans="1:16" ht="30">
      <c r="A46" s="45"/>
      <c r="B46" s="39" t="s">
        <v>161</v>
      </c>
      <c r="C46" s="40" t="s">
        <v>85</v>
      </c>
      <c r="D46" s="41" t="s">
        <v>84</v>
      </c>
      <c r="E46" s="41" t="s">
        <v>78</v>
      </c>
      <c r="F46" s="41">
        <v>500</v>
      </c>
      <c r="G46" s="41" t="s">
        <v>176</v>
      </c>
      <c r="H46" s="153"/>
      <c r="I46" s="140">
        <f>SUM(J46:M46)</f>
        <v>280000</v>
      </c>
      <c r="J46" s="46">
        <f>130000+100000</f>
        <v>230000</v>
      </c>
      <c r="K46" s="46">
        <v>20000</v>
      </c>
      <c r="L46" s="46">
        <v>20000</v>
      </c>
      <c r="M46" s="46">
        <v>10000</v>
      </c>
      <c r="N46" s="56"/>
      <c r="O46" s="56"/>
      <c r="P46" s="56"/>
    </row>
    <row r="47" spans="1:16" ht="30">
      <c r="A47" s="45"/>
      <c r="B47" s="39" t="s">
        <v>162</v>
      </c>
      <c r="C47" s="40" t="s">
        <v>85</v>
      </c>
      <c r="D47" s="41" t="s">
        <v>84</v>
      </c>
      <c r="E47" s="41" t="s">
        <v>78</v>
      </c>
      <c r="F47" s="41">
        <v>500</v>
      </c>
      <c r="G47" s="41" t="s">
        <v>177</v>
      </c>
      <c r="H47" s="153"/>
      <c r="I47" s="140">
        <f>SUM(J47:M47)</f>
        <v>377803.4</v>
      </c>
      <c r="J47" s="46">
        <f>130076-33172.6</f>
        <v>96903.4</v>
      </c>
      <c r="K47" s="46">
        <f>130000-30000</f>
        <v>100000</v>
      </c>
      <c r="L47" s="46">
        <f>130000-30000</f>
        <v>100000</v>
      </c>
      <c r="M47" s="46">
        <f>130000-40000-9100</f>
        <v>80900</v>
      </c>
      <c r="N47" s="48"/>
      <c r="O47" s="48"/>
      <c r="P47" s="48"/>
    </row>
    <row r="48" spans="1:16" ht="30">
      <c r="A48" s="45"/>
      <c r="B48" s="39" t="s">
        <v>166</v>
      </c>
      <c r="C48" s="40" t="s">
        <v>85</v>
      </c>
      <c r="D48" s="41" t="s">
        <v>84</v>
      </c>
      <c r="E48" s="41" t="s">
        <v>78</v>
      </c>
      <c r="F48" s="41">
        <v>500</v>
      </c>
      <c r="G48" s="41" t="s">
        <v>163</v>
      </c>
      <c r="H48" s="153"/>
      <c r="I48" s="140">
        <f>SUM(J48:M48)</f>
        <v>4878647.779999999</v>
      </c>
      <c r="J48" s="46">
        <f>813107.96+50000+70000</f>
        <v>933107.96</v>
      </c>
      <c r="K48" s="46">
        <v>1219661.94</v>
      </c>
      <c r="L48" s="46">
        <v>1219661.95</v>
      </c>
      <c r="M48" s="46">
        <f>1626215.93-50000-70000</f>
        <v>1506215.93</v>
      </c>
      <c r="N48" s="48"/>
      <c r="O48" s="48"/>
      <c r="P48" s="48"/>
    </row>
    <row r="49" spans="1:16" ht="30">
      <c r="A49" s="45"/>
      <c r="B49" s="39" t="s">
        <v>168</v>
      </c>
      <c r="C49" s="40" t="s">
        <v>85</v>
      </c>
      <c r="D49" s="41" t="s">
        <v>84</v>
      </c>
      <c r="E49" s="41" t="s">
        <v>78</v>
      </c>
      <c r="F49" s="41">
        <v>500</v>
      </c>
      <c r="G49" s="41" t="s">
        <v>165</v>
      </c>
      <c r="H49" s="153"/>
      <c r="I49" s="140">
        <f>SUM(J49:M49)</f>
        <v>1278205.72</v>
      </c>
      <c r="J49" s="46">
        <f>213034.29+14000+7000+5000</f>
        <v>239034.29</v>
      </c>
      <c r="K49" s="46">
        <f>319551.43</f>
        <v>319551.43</v>
      </c>
      <c r="L49" s="46">
        <f>319551.43</f>
        <v>319551.43</v>
      </c>
      <c r="M49" s="46">
        <f>426068.57-14000-7000-5000</f>
        <v>400068.57</v>
      </c>
      <c r="N49" s="48"/>
      <c r="O49" s="48"/>
      <c r="P49" s="48"/>
    </row>
    <row r="50" spans="1:13" ht="15.75" customHeight="1">
      <c r="A50" s="45"/>
      <c r="B50" s="39" t="s">
        <v>11</v>
      </c>
      <c r="C50" s="40" t="s">
        <v>85</v>
      </c>
      <c r="D50" s="41" t="s">
        <v>84</v>
      </c>
      <c r="E50" s="41" t="s">
        <v>81</v>
      </c>
      <c r="F50" s="41"/>
      <c r="G50" s="41"/>
      <c r="H50" s="153"/>
      <c r="I50" s="140">
        <f aca="true" t="shared" si="6" ref="I50:M51">I51</f>
        <v>1092000</v>
      </c>
      <c r="J50" s="46">
        <f t="shared" si="6"/>
        <v>182000</v>
      </c>
      <c r="K50" s="46">
        <f t="shared" si="6"/>
        <v>273000</v>
      </c>
      <c r="L50" s="46">
        <f t="shared" si="6"/>
        <v>273000</v>
      </c>
      <c r="M50" s="46">
        <f t="shared" si="6"/>
        <v>364000</v>
      </c>
    </row>
    <row r="51" spans="1:13" ht="30">
      <c r="A51" s="45"/>
      <c r="B51" s="39" t="s">
        <v>19</v>
      </c>
      <c r="C51" s="40" t="s">
        <v>85</v>
      </c>
      <c r="D51" s="41" t="s">
        <v>84</v>
      </c>
      <c r="E51" s="41" t="s">
        <v>81</v>
      </c>
      <c r="F51" s="41"/>
      <c r="G51" s="41"/>
      <c r="H51" s="153"/>
      <c r="I51" s="140">
        <f t="shared" si="6"/>
        <v>1092000</v>
      </c>
      <c r="J51" s="46">
        <f t="shared" si="6"/>
        <v>182000</v>
      </c>
      <c r="K51" s="46">
        <f t="shared" si="6"/>
        <v>273000</v>
      </c>
      <c r="L51" s="46">
        <f t="shared" si="6"/>
        <v>273000</v>
      </c>
      <c r="M51" s="46">
        <f t="shared" si="6"/>
        <v>364000</v>
      </c>
    </row>
    <row r="52" spans="1:13" ht="30">
      <c r="A52" s="45"/>
      <c r="B52" s="39" t="s">
        <v>14</v>
      </c>
      <c r="C52" s="40" t="s">
        <v>85</v>
      </c>
      <c r="D52" s="41" t="s">
        <v>84</v>
      </c>
      <c r="E52" s="41" t="s">
        <v>81</v>
      </c>
      <c r="F52" s="41">
        <v>500</v>
      </c>
      <c r="G52" s="41"/>
      <c r="H52" s="153"/>
      <c r="I52" s="140">
        <f>I53+I54</f>
        <v>1092000</v>
      </c>
      <c r="J52" s="46">
        <f>J53+J54</f>
        <v>182000</v>
      </c>
      <c r="K52" s="46">
        <f>K53+K54</f>
        <v>273000</v>
      </c>
      <c r="L52" s="46">
        <f>L53+L54</f>
        <v>273000</v>
      </c>
      <c r="M52" s="46">
        <f>M53+M54</f>
        <v>364000</v>
      </c>
    </row>
    <row r="53" spans="1:15" ht="14.25" customHeight="1">
      <c r="A53" s="45"/>
      <c r="B53" s="39" t="s">
        <v>166</v>
      </c>
      <c r="C53" s="40" t="s">
        <v>85</v>
      </c>
      <c r="D53" s="41" t="s">
        <v>84</v>
      </c>
      <c r="E53" s="41" t="s">
        <v>81</v>
      </c>
      <c r="F53" s="41">
        <v>500</v>
      </c>
      <c r="G53" s="41" t="s">
        <v>163</v>
      </c>
      <c r="H53" s="153"/>
      <c r="I53" s="140">
        <f>SUM(J53:M53)</f>
        <v>865293.19</v>
      </c>
      <c r="J53" s="46">
        <v>144215.53</v>
      </c>
      <c r="K53" s="46">
        <v>216323.3</v>
      </c>
      <c r="L53" s="46">
        <v>216323.3</v>
      </c>
      <c r="M53" s="46">
        <v>288431.06</v>
      </c>
      <c r="O53" s="70"/>
    </row>
    <row r="54" spans="1:15" ht="13.5" customHeight="1">
      <c r="A54" s="45"/>
      <c r="B54" s="39" t="s">
        <v>168</v>
      </c>
      <c r="C54" s="40" t="s">
        <v>85</v>
      </c>
      <c r="D54" s="41" t="s">
        <v>84</v>
      </c>
      <c r="E54" s="41" t="s">
        <v>81</v>
      </c>
      <c r="F54" s="41">
        <v>500</v>
      </c>
      <c r="G54" s="41" t="s">
        <v>165</v>
      </c>
      <c r="H54" s="153"/>
      <c r="I54" s="140">
        <f>SUM(J54:M54)</f>
        <v>226706.81</v>
      </c>
      <c r="J54" s="46">
        <v>37784.47</v>
      </c>
      <c r="K54" s="46">
        <v>56676.7</v>
      </c>
      <c r="L54" s="46">
        <v>56676.7</v>
      </c>
      <c r="M54" s="46">
        <v>75568.94</v>
      </c>
      <c r="O54" s="70"/>
    </row>
    <row r="55" spans="1:15" ht="13.5" customHeight="1">
      <c r="A55" s="45"/>
      <c r="B55" s="39"/>
      <c r="C55" s="40" t="s">
        <v>85</v>
      </c>
      <c r="D55" s="41" t="s">
        <v>238</v>
      </c>
      <c r="E55" s="41"/>
      <c r="F55" s="41"/>
      <c r="G55" s="41"/>
      <c r="H55" s="153"/>
      <c r="I55" s="140">
        <f>J55+K55+L55+M55</f>
        <v>350</v>
      </c>
      <c r="J55" s="46">
        <v>0</v>
      </c>
      <c r="K55" s="46">
        <v>0</v>
      </c>
      <c r="L55" s="46">
        <f>L56</f>
        <v>350</v>
      </c>
      <c r="M55" s="46">
        <v>0</v>
      </c>
      <c r="O55" s="70"/>
    </row>
    <row r="56" spans="1:15" ht="13.5" customHeight="1">
      <c r="A56" s="45"/>
      <c r="B56" s="39"/>
      <c r="C56" s="40" t="s">
        <v>85</v>
      </c>
      <c r="D56" s="41" t="s">
        <v>238</v>
      </c>
      <c r="E56" s="41" t="s">
        <v>239</v>
      </c>
      <c r="F56" s="41"/>
      <c r="G56" s="41"/>
      <c r="H56" s="153"/>
      <c r="I56" s="140">
        <f>J56+K56+L56+M56</f>
        <v>350</v>
      </c>
      <c r="J56" s="46">
        <v>0</v>
      </c>
      <c r="K56" s="46">
        <v>0</v>
      </c>
      <c r="L56" s="46">
        <f>L57</f>
        <v>350</v>
      </c>
      <c r="M56" s="46">
        <v>0</v>
      </c>
      <c r="O56" s="70"/>
    </row>
    <row r="57" spans="1:15" ht="13.5" customHeight="1">
      <c r="A57" s="45"/>
      <c r="B57" s="39"/>
      <c r="C57" s="40" t="s">
        <v>85</v>
      </c>
      <c r="D57" s="41" t="s">
        <v>238</v>
      </c>
      <c r="E57" s="41" t="s">
        <v>239</v>
      </c>
      <c r="F57" s="41" t="s">
        <v>110</v>
      </c>
      <c r="G57" s="41"/>
      <c r="H57" s="153"/>
      <c r="I57" s="140">
        <f>J57+K57+L57+M57</f>
        <v>350</v>
      </c>
      <c r="J57" s="46">
        <v>0</v>
      </c>
      <c r="K57" s="46">
        <v>0</v>
      </c>
      <c r="L57" s="46">
        <f>L58</f>
        <v>350</v>
      </c>
      <c r="M57" s="46">
        <v>0</v>
      </c>
      <c r="O57" s="70"/>
    </row>
    <row r="58" spans="1:15" ht="13.5" customHeight="1">
      <c r="A58" s="45"/>
      <c r="B58" s="39"/>
      <c r="C58" s="40" t="s">
        <v>85</v>
      </c>
      <c r="D58" s="41" t="s">
        <v>238</v>
      </c>
      <c r="E58" s="41" t="s">
        <v>239</v>
      </c>
      <c r="F58" s="41" t="s">
        <v>110</v>
      </c>
      <c r="G58" s="41" t="s">
        <v>175</v>
      </c>
      <c r="H58" s="153"/>
      <c r="I58" s="140">
        <f>J58+K58+L58+M58</f>
        <v>350</v>
      </c>
      <c r="J58" s="46">
        <v>0</v>
      </c>
      <c r="K58" s="46">
        <v>0</v>
      </c>
      <c r="L58" s="46">
        <v>350</v>
      </c>
      <c r="M58" s="46">
        <v>0</v>
      </c>
      <c r="O58" s="70"/>
    </row>
    <row r="59" spans="1:15" ht="14.25" customHeight="1">
      <c r="A59" s="45"/>
      <c r="B59" s="39" t="s">
        <v>134</v>
      </c>
      <c r="C59" s="40" t="s">
        <v>85</v>
      </c>
      <c r="D59" s="41" t="s">
        <v>127</v>
      </c>
      <c r="E59" s="41"/>
      <c r="F59" s="41"/>
      <c r="G59" s="41"/>
      <c r="H59" s="153"/>
      <c r="I59" s="140">
        <f aca="true" t="shared" si="7" ref="I59:M62">I60</f>
        <v>375000</v>
      </c>
      <c r="J59" s="46">
        <f t="shared" si="7"/>
        <v>0</v>
      </c>
      <c r="K59" s="46">
        <f t="shared" si="7"/>
        <v>0</v>
      </c>
      <c r="L59" s="46">
        <f t="shared" si="7"/>
        <v>375000</v>
      </c>
      <c r="M59" s="46">
        <f t="shared" si="7"/>
        <v>0</v>
      </c>
      <c r="O59" s="70"/>
    </row>
    <row r="60" spans="1:13" ht="30">
      <c r="A60" s="45"/>
      <c r="B60" s="39" t="s">
        <v>135</v>
      </c>
      <c r="C60" s="40" t="s">
        <v>85</v>
      </c>
      <c r="D60" s="41" t="s">
        <v>127</v>
      </c>
      <c r="E60" s="41" t="s">
        <v>136</v>
      </c>
      <c r="F60" s="41"/>
      <c r="G60" s="41"/>
      <c r="H60" s="153"/>
      <c r="I60" s="140">
        <f t="shared" si="7"/>
        <v>375000</v>
      </c>
      <c r="J60" s="46">
        <f t="shared" si="7"/>
        <v>0</v>
      </c>
      <c r="K60" s="46">
        <f t="shared" si="7"/>
        <v>0</v>
      </c>
      <c r="L60" s="46">
        <f t="shared" si="7"/>
        <v>375000</v>
      </c>
      <c r="M60" s="46">
        <f t="shared" si="7"/>
        <v>0</v>
      </c>
    </row>
    <row r="61" spans="1:13" ht="30">
      <c r="A61" s="45"/>
      <c r="B61" s="39" t="s">
        <v>137</v>
      </c>
      <c r="C61" s="40" t="s">
        <v>85</v>
      </c>
      <c r="D61" s="41" t="s">
        <v>127</v>
      </c>
      <c r="E61" s="41" t="s">
        <v>138</v>
      </c>
      <c r="F61" s="41"/>
      <c r="G61" s="41"/>
      <c r="H61" s="153"/>
      <c r="I61" s="140">
        <f t="shared" si="7"/>
        <v>375000</v>
      </c>
      <c r="J61" s="46">
        <f t="shared" si="7"/>
        <v>0</v>
      </c>
      <c r="K61" s="46">
        <f t="shared" si="7"/>
        <v>0</v>
      </c>
      <c r="L61" s="46">
        <f t="shared" si="7"/>
        <v>375000</v>
      </c>
      <c r="M61" s="46">
        <f t="shared" si="7"/>
        <v>0</v>
      </c>
    </row>
    <row r="62" spans="1:13" ht="30">
      <c r="A62" s="45"/>
      <c r="B62" s="39" t="s">
        <v>14</v>
      </c>
      <c r="C62" s="40" t="s">
        <v>85</v>
      </c>
      <c r="D62" s="41" t="s">
        <v>127</v>
      </c>
      <c r="E62" s="41" t="s">
        <v>138</v>
      </c>
      <c r="F62" s="41" t="s">
        <v>110</v>
      </c>
      <c r="G62" s="41"/>
      <c r="H62" s="153"/>
      <c r="I62" s="140">
        <f t="shared" si="7"/>
        <v>375000</v>
      </c>
      <c r="J62" s="46">
        <f t="shared" si="7"/>
        <v>0</v>
      </c>
      <c r="K62" s="46">
        <f t="shared" si="7"/>
        <v>0</v>
      </c>
      <c r="L62" s="46">
        <f t="shared" si="7"/>
        <v>375000</v>
      </c>
      <c r="M62" s="46">
        <f t="shared" si="7"/>
        <v>0</v>
      </c>
    </row>
    <row r="63" spans="1:13" ht="30">
      <c r="A63" s="45"/>
      <c r="B63" s="39" t="s">
        <v>178</v>
      </c>
      <c r="C63" s="40" t="s">
        <v>85</v>
      </c>
      <c r="D63" s="41" t="s">
        <v>127</v>
      </c>
      <c r="E63" s="41" t="s">
        <v>138</v>
      </c>
      <c r="F63" s="41" t="s">
        <v>110</v>
      </c>
      <c r="G63" s="41" t="s">
        <v>179</v>
      </c>
      <c r="H63" s="153"/>
      <c r="I63" s="140">
        <f>SUM(J63:M63)</f>
        <v>375000</v>
      </c>
      <c r="J63" s="46">
        <v>0</v>
      </c>
      <c r="K63" s="46">
        <v>0</v>
      </c>
      <c r="L63" s="46">
        <v>375000</v>
      </c>
      <c r="M63" s="46">
        <v>0</v>
      </c>
    </row>
    <row r="64" spans="1:13" ht="30">
      <c r="A64" s="45"/>
      <c r="B64" s="39" t="s">
        <v>20</v>
      </c>
      <c r="C64" s="40" t="s">
        <v>85</v>
      </c>
      <c r="D64" s="41" t="s">
        <v>86</v>
      </c>
      <c r="E64" s="41"/>
      <c r="F64" s="41"/>
      <c r="G64" s="41"/>
      <c r="H64" s="153"/>
      <c r="I64" s="140">
        <f>I65</f>
        <v>0</v>
      </c>
      <c r="J64" s="46">
        <f aca="true" t="shared" si="8" ref="J64:M68">J65</f>
        <v>0</v>
      </c>
      <c r="K64" s="46">
        <f t="shared" si="8"/>
        <v>0</v>
      </c>
      <c r="L64" s="46">
        <f t="shared" si="8"/>
        <v>0</v>
      </c>
      <c r="M64" s="46">
        <f t="shared" si="8"/>
        <v>0</v>
      </c>
    </row>
    <row r="65" spans="1:13" ht="30">
      <c r="A65" s="45"/>
      <c r="B65" s="39" t="s">
        <v>20</v>
      </c>
      <c r="C65" s="40" t="s">
        <v>85</v>
      </c>
      <c r="D65" s="41" t="s">
        <v>86</v>
      </c>
      <c r="E65" s="41" t="s">
        <v>119</v>
      </c>
      <c r="F65" s="41"/>
      <c r="G65" s="41"/>
      <c r="H65" s="153"/>
      <c r="I65" s="140">
        <f>I66</f>
        <v>0</v>
      </c>
      <c r="J65" s="46">
        <f t="shared" si="8"/>
        <v>0</v>
      </c>
      <c r="K65" s="46">
        <f t="shared" si="8"/>
        <v>0</v>
      </c>
      <c r="L65" s="46">
        <f t="shared" si="8"/>
        <v>0</v>
      </c>
      <c r="M65" s="46">
        <f t="shared" si="8"/>
        <v>0</v>
      </c>
    </row>
    <row r="66" spans="1:13" ht="30">
      <c r="A66" s="45"/>
      <c r="B66" s="39" t="s">
        <v>21</v>
      </c>
      <c r="C66" s="40" t="s">
        <v>85</v>
      </c>
      <c r="D66" s="41" t="s">
        <v>86</v>
      </c>
      <c r="E66" s="41" t="s">
        <v>120</v>
      </c>
      <c r="F66" s="41"/>
      <c r="G66" s="41"/>
      <c r="H66" s="153"/>
      <c r="I66" s="140">
        <f>I67</f>
        <v>0</v>
      </c>
      <c r="J66" s="46">
        <f t="shared" si="8"/>
        <v>0</v>
      </c>
      <c r="K66" s="46">
        <f t="shared" si="8"/>
        <v>0</v>
      </c>
      <c r="L66" s="46">
        <f t="shared" si="8"/>
        <v>0</v>
      </c>
      <c r="M66" s="46">
        <f t="shared" si="8"/>
        <v>0</v>
      </c>
    </row>
    <row r="67" spans="1:13" ht="24.75" customHeight="1">
      <c r="A67" s="45"/>
      <c r="B67" s="136" t="s">
        <v>22</v>
      </c>
      <c r="C67" s="40" t="s">
        <v>85</v>
      </c>
      <c r="D67" s="41" t="s">
        <v>86</v>
      </c>
      <c r="E67" s="41" t="s">
        <v>120</v>
      </c>
      <c r="F67" s="41"/>
      <c r="G67" s="41"/>
      <c r="H67" s="153"/>
      <c r="I67" s="140">
        <f>I68</f>
        <v>0</v>
      </c>
      <c r="J67" s="46">
        <f t="shared" si="8"/>
        <v>0</v>
      </c>
      <c r="K67" s="46">
        <f t="shared" si="8"/>
        <v>0</v>
      </c>
      <c r="L67" s="46">
        <f t="shared" si="8"/>
        <v>0</v>
      </c>
      <c r="M67" s="46">
        <f t="shared" si="8"/>
        <v>0</v>
      </c>
    </row>
    <row r="68" spans="1:13" ht="13.5" customHeight="1">
      <c r="A68" s="45"/>
      <c r="B68" s="39" t="s">
        <v>23</v>
      </c>
      <c r="C68" s="40" t="s">
        <v>85</v>
      </c>
      <c r="D68" s="41" t="s">
        <v>86</v>
      </c>
      <c r="E68" s="41" t="s">
        <v>120</v>
      </c>
      <c r="F68" s="41" t="s">
        <v>105</v>
      </c>
      <c r="G68" s="41"/>
      <c r="H68" s="153"/>
      <c r="I68" s="140">
        <f>I69</f>
        <v>0</v>
      </c>
      <c r="J68" s="46">
        <f>J69</f>
        <v>0</v>
      </c>
      <c r="K68" s="46">
        <f t="shared" si="8"/>
        <v>0</v>
      </c>
      <c r="L68" s="46">
        <f t="shared" si="8"/>
        <v>0</v>
      </c>
      <c r="M68" s="46">
        <f t="shared" si="8"/>
        <v>0</v>
      </c>
    </row>
    <row r="69" spans="1:13" ht="13.5" customHeight="1">
      <c r="A69" s="45"/>
      <c r="B69" s="39" t="s">
        <v>23</v>
      </c>
      <c r="C69" s="40" t="s">
        <v>85</v>
      </c>
      <c r="D69" s="41" t="s">
        <v>86</v>
      </c>
      <c r="E69" s="41" t="s">
        <v>120</v>
      </c>
      <c r="F69" s="41" t="s">
        <v>105</v>
      </c>
      <c r="G69" s="41" t="s">
        <v>175</v>
      </c>
      <c r="H69" s="153"/>
      <c r="I69" s="140">
        <f>SUM(J69:M69)</f>
        <v>0</v>
      </c>
      <c r="J69" s="46">
        <f>106625-106625</f>
        <v>0</v>
      </c>
      <c r="K69" s="46">
        <f>106625-106625</f>
        <v>0</v>
      </c>
      <c r="L69" s="46">
        <f>106625-106625</f>
        <v>0</v>
      </c>
      <c r="M69" s="46">
        <f>106625-106625</f>
        <v>0</v>
      </c>
    </row>
    <row r="70" spans="1:13" ht="30">
      <c r="A70" s="45"/>
      <c r="B70" s="39" t="s">
        <v>24</v>
      </c>
      <c r="C70" s="40" t="s">
        <v>85</v>
      </c>
      <c r="D70" s="41" t="s">
        <v>87</v>
      </c>
      <c r="E70" s="57"/>
      <c r="F70" s="57"/>
      <c r="G70" s="57"/>
      <c r="H70" s="158"/>
      <c r="I70" s="140">
        <f>I71</f>
        <v>2057500</v>
      </c>
      <c r="J70" s="46">
        <f aca="true" t="shared" si="9" ref="J70:M72">J71</f>
        <v>521500</v>
      </c>
      <c r="K70" s="46">
        <f t="shared" si="9"/>
        <v>933700</v>
      </c>
      <c r="L70" s="46">
        <f t="shared" si="9"/>
        <v>487400</v>
      </c>
      <c r="M70" s="46">
        <f t="shared" si="9"/>
        <v>114900</v>
      </c>
    </row>
    <row r="71" spans="1:13" ht="27.75" customHeight="1">
      <c r="A71" s="45"/>
      <c r="B71" s="39" t="s">
        <v>25</v>
      </c>
      <c r="C71" s="40" t="s">
        <v>85</v>
      </c>
      <c r="D71" s="41" t="s">
        <v>87</v>
      </c>
      <c r="E71" s="41" t="s">
        <v>121</v>
      </c>
      <c r="F71" s="57"/>
      <c r="G71" s="57"/>
      <c r="H71" s="158"/>
      <c r="I71" s="140">
        <f>I72</f>
        <v>2057500</v>
      </c>
      <c r="J71" s="46">
        <f t="shared" si="9"/>
        <v>521500</v>
      </c>
      <c r="K71" s="46">
        <f t="shared" si="9"/>
        <v>933700</v>
      </c>
      <c r="L71" s="46">
        <f t="shared" si="9"/>
        <v>487400</v>
      </c>
      <c r="M71" s="46">
        <f t="shared" si="9"/>
        <v>114900</v>
      </c>
    </row>
    <row r="72" spans="1:13" ht="13.5" customHeight="1">
      <c r="A72" s="45"/>
      <c r="B72" s="39" t="s">
        <v>26</v>
      </c>
      <c r="C72" s="40" t="s">
        <v>85</v>
      </c>
      <c r="D72" s="41" t="s">
        <v>87</v>
      </c>
      <c r="E72" s="41" t="s">
        <v>122</v>
      </c>
      <c r="F72" s="57"/>
      <c r="G72" s="57"/>
      <c r="H72" s="158"/>
      <c r="I72" s="140">
        <f>I73</f>
        <v>2057500</v>
      </c>
      <c r="J72" s="46">
        <f t="shared" si="9"/>
        <v>521500</v>
      </c>
      <c r="K72" s="46">
        <f t="shared" si="9"/>
        <v>933700</v>
      </c>
      <c r="L72" s="46">
        <f t="shared" si="9"/>
        <v>487400</v>
      </c>
      <c r="M72" s="46">
        <f t="shared" si="9"/>
        <v>114900</v>
      </c>
    </row>
    <row r="73" spans="1:13" ht="14.25" customHeight="1">
      <c r="A73" s="45"/>
      <c r="B73" s="39" t="s">
        <v>14</v>
      </c>
      <c r="C73" s="40" t="s">
        <v>85</v>
      </c>
      <c r="D73" s="41" t="s">
        <v>87</v>
      </c>
      <c r="E73" s="41" t="s">
        <v>122</v>
      </c>
      <c r="F73" s="41">
        <v>500</v>
      </c>
      <c r="G73" s="41"/>
      <c r="H73" s="153"/>
      <c r="I73" s="140">
        <f>SUM(I74:I80)</f>
        <v>2057500</v>
      </c>
      <c r="J73" s="54">
        <f>SUM(J74:J80)</f>
        <v>521500</v>
      </c>
      <c r="K73" s="54">
        <f>SUM(K74:K80)</f>
        <v>933700</v>
      </c>
      <c r="L73" s="54">
        <f>SUM(L74:L80)</f>
        <v>487400</v>
      </c>
      <c r="M73" s="54">
        <f>SUM(M74:M80)</f>
        <v>114900</v>
      </c>
    </row>
    <row r="74" spans="1:13" ht="14.25" customHeight="1">
      <c r="A74" s="45"/>
      <c r="B74" s="39" t="s">
        <v>158</v>
      </c>
      <c r="C74" s="40" t="s">
        <v>85</v>
      </c>
      <c r="D74" s="41" t="s">
        <v>87</v>
      </c>
      <c r="E74" s="41" t="s">
        <v>122</v>
      </c>
      <c r="F74" s="41" t="s">
        <v>110</v>
      </c>
      <c r="G74" s="41" t="s">
        <v>171</v>
      </c>
      <c r="H74" s="153"/>
      <c r="I74" s="140">
        <f aca="true" t="shared" si="10" ref="I74:I80">SUM(J74:M74)</f>
        <v>20000</v>
      </c>
      <c r="J74" s="54">
        <v>20000</v>
      </c>
      <c r="K74" s="54">
        <v>0</v>
      </c>
      <c r="L74" s="54">
        <v>0</v>
      </c>
      <c r="M74" s="54">
        <v>0</v>
      </c>
    </row>
    <row r="75" spans="1:13" ht="14.25" customHeight="1">
      <c r="A75" s="45"/>
      <c r="B75" s="39" t="s">
        <v>210</v>
      </c>
      <c r="C75" s="40" t="s">
        <v>85</v>
      </c>
      <c r="D75" s="41" t="s">
        <v>87</v>
      </c>
      <c r="E75" s="41" t="s">
        <v>122</v>
      </c>
      <c r="F75" s="41" t="s">
        <v>110</v>
      </c>
      <c r="G75" s="41" t="s">
        <v>209</v>
      </c>
      <c r="H75" s="153"/>
      <c r="I75" s="140">
        <f t="shared" si="10"/>
        <v>26400</v>
      </c>
      <c r="J75" s="54">
        <v>22500</v>
      </c>
      <c r="K75" s="54">
        <f>3900</f>
        <v>3900</v>
      </c>
      <c r="L75" s="54"/>
      <c r="M75" s="54"/>
    </row>
    <row r="76" spans="1:13" ht="14.25" customHeight="1">
      <c r="A76" s="45"/>
      <c r="B76" s="39" t="s">
        <v>159</v>
      </c>
      <c r="C76" s="40" t="s">
        <v>85</v>
      </c>
      <c r="D76" s="41" t="s">
        <v>87</v>
      </c>
      <c r="E76" s="41" t="s">
        <v>122</v>
      </c>
      <c r="F76" s="41" t="s">
        <v>110</v>
      </c>
      <c r="G76" s="41" t="s">
        <v>173</v>
      </c>
      <c r="H76" s="153"/>
      <c r="I76" s="140">
        <f t="shared" si="10"/>
        <v>185500</v>
      </c>
      <c r="J76" s="54">
        <v>0</v>
      </c>
      <c r="K76" s="54">
        <v>185500</v>
      </c>
      <c r="L76" s="54">
        <v>0</v>
      </c>
      <c r="M76" s="54">
        <v>0</v>
      </c>
    </row>
    <row r="77" spans="1:13" ht="13.5" customHeight="1">
      <c r="A77" s="45"/>
      <c r="B77" s="39" t="s">
        <v>181</v>
      </c>
      <c r="C77" s="40" t="s">
        <v>85</v>
      </c>
      <c r="D77" s="41" t="s">
        <v>87</v>
      </c>
      <c r="E77" s="41" t="s">
        <v>122</v>
      </c>
      <c r="F77" s="41">
        <v>500</v>
      </c>
      <c r="G77" s="41" t="s">
        <v>174</v>
      </c>
      <c r="H77" s="153"/>
      <c r="I77" s="140">
        <f t="shared" si="10"/>
        <v>766760</v>
      </c>
      <c r="J77" s="46">
        <f>60000+25000+45000+20000+23100</f>
        <v>173100</v>
      </c>
      <c r="K77" s="46">
        <f>50000-20000+130500+173360</f>
        <v>333860</v>
      </c>
      <c r="L77" s="46">
        <f>50000+104900</f>
        <v>154900</v>
      </c>
      <c r="M77" s="46">
        <f>50000-50000+104900</f>
        <v>104900</v>
      </c>
    </row>
    <row r="78" spans="1:13" ht="13.5" customHeight="1">
      <c r="A78" s="45"/>
      <c r="B78" s="39" t="s">
        <v>23</v>
      </c>
      <c r="C78" s="40" t="s">
        <v>85</v>
      </c>
      <c r="D78" s="41" t="s">
        <v>87</v>
      </c>
      <c r="E78" s="41" t="s">
        <v>122</v>
      </c>
      <c r="F78" s="41">
        <v>500</v>
      </c>
      <c r="G78" s="41" t="s">
        <v>175</v>
      </c>
      <c r="H78" s="153"/>
      <c r="I78" s="140">
        <f t="shared" si="10"/>
        <v>646157.96</v>
      </c>
      <c r="J78" s="46">
        <f>412500-50000-30000-30000-25000-20000-23100-122500</f>
        <v>111900</v>
      </c>
      <c r="K78" s="46">
        <f>412500-54800-10000-3042.04-25000-20000-3900-64000-20000</f>
        <v>211757.96000000002</v>
      </c>
      <c r="L78" s="46">
        <f>412500-50000-30000-10000</f>
        <v>322500</v>
      </c>
      <c r="M78" s="46">
        <f>412500-50000-10000-43500-309000</f>
        <v>0</v>
      </c>
    </row>
    <row r="79" spans="1:13" ht="13.5" customHeight="1">
      <c r="A79" s="45"/>
      <c r="B79" s="39" t="s">
        <v>161</v>
      </c>
      <c r="C79" s="40" t="s">
        <v>85</v>
      </c>
      <c r="D79" s="41" t="s">
        <v>87</v>
      </c>
      <c r="E79" s="41" t="s">
        <v>122</v>
      </c>
      <c r="F79" s="41">
        <v>500</v>
      </c>
      <c r="G79" s="41" t="s">
        <v>176</v>
      </c>
      <c r="H79" s="153"/>
      <c r="I79" s="140">
        <f t="shared" si="10"/>
        <v>3042.04</v>
      </c>
      <c r="J79" s="46">
        <v>0</v>
      </c>
      <c r="K79" s="46">
        <v>3042.04</v>
      </c>
      <c r="L79" s="46">
        <v>0</v>
      </c>
      <c r="M79" s="46">
        <v>0</v>
      </c>
    </row>
    <row r="80" spans="1:13" ht="13.5" customHeight="1">
      <c r="A80" s="45"/>
      <c r="B80" s="39" t="s">
        <v>162</v>
      </c>
      <c r="C80" s="40" t="s">
        <v>85</v>
      </c>
      <c r="D80" s="41" t="s">
        <v>87</v>
      </c>
      <c r="E80" s="41" t="s">
        <v>122</v>
      </c>
      <c r="F80" s="41">
        <v>500</v>
      </c>
      <c r="G80" s="41" t="s">
        <v>177</v>
      </c>
      <c r="H80" s="153"/>
      <c r="I80" s="140">
        <f t="shared" si="10"/>
        <v>409640</v>
      </c>
      <c r="J80" s="46">
        <f>30000+164000</f>
        <v>194000</v>
      </c>
      <c r="K80" s="46">
        <f>10000+185640</f>
        <v>195640</v>
      </c>
      <c r="L80" s="46">
        <v>10000</v>
      </c>
      <c r="M80" s="46">
        <v>10000</v>
      </c>
    </row>
    <row r="81" spans="1:13" ht="13.5" customHeight="1">
      <c r="A81" s="45"/>
      <c r="B81" s="39" t="s">
        <v>27</v>
      </c>
      <c r="C81" s="40" t="s">
        <v>85</v>
      </c>
      <c r="D81" s="58" t="s">
        <v>88</v>
      </c>
      <c r="E81" s="59"/>
      <c r="F81" s="59"/>
      <c r="G81" s="59"/>
      <c r="H81" s="159"/>
      <c r="I81" s="139">
        <f aca="true" t="shared" si="11" ref="I81:M83">I82</f>
        <v>393788</v>
      </c>
      <c r="J81" s="46">
        <f t="shared" si="11"/>
        <v>77207.15</v>
      </c>
      <c r="K81" s="46">
        <f t="shared" si="11"/>
        <v>98446.91</v>
      </c>
      <c r="L81" s="46">
        <f t="shared" si="11"/>
        <v>98446.91</v>
      </c>
      <c r="M81" s="46">
        <f t="shared" si="11"/>
        <v>119687.03</v>
      </c>
    </row>
    <row r="82" spans="1:13" ht="13.5" customHeight="1">
      <c r="A82" s="45"/>
      <c r="B82" s="39" t="s">
        <v>28</v>
      </c>
      <c r="C82" s="40" t="s">
        <v>85</v>
      </c>
      <c r="D82" s="41" t="s">
        <v>89</v>
      </c>
      <c r="E82" s="57"/>
      <c r="F82" s="57"/>
      <c r="G82" s="57"/>
      <c r="H82" s="158"/>
      <c r="I82" s="140">
        <f t="shared" si="11"/>
        <v>393788</v>
      </c>
      <c r="J82" s="46">
        <f t="shared" si="11"/>
        <v>77207.15</v>
      </c>
      <c r="K82" s="46">
        <f t="shared" si="11"/>
        <v>98446.91</v>
      </c>
      <c r="L82" s="46">
        <f t="shared" si="11"/>
        <v>98446.91</v>
      </c>
      <c r="M82" s="46">
        <f t="shared" si="11"/>
        <v>119687.03</v>
      </c>
    </row>
    <row r="83" spans="1:13" ht="30">
      <c r="A83" s="45"/>
      <c r="B83" s="39" t="s">
        <v>29</v>
      </c>
      <c r="C83" s="40" t="s">
        <v>85</v>
      </c>
      <c r="D83" s="41" t="s">
        <v>89</v>
      </c>
      <c r="E83" s="57" t="s">
        <v>123</v>
      </c>
      <c r="F83" s="57"/>
      <c r="G83" s="57"/>
      <c r="H83" s="158"/>
      <c r="I83" s="140">
        <f t="shared" si="11"/>
        <v>393788</v>
      </c>
      <c r="J83" s="46">
        <f t="shared" si="11"/>
        <v>77207.15</v>
      </c>
      <c r="K83" s="46">
        <f t="shared" si="11"/>
        <v>98446.91</v>
      </c>
      <c r="L83" s="46">
        <f t="shared" si="11"/>
        <v>98446.91</v>
      </c>
      <c r="M83" s="46">
        <f t="shared" si="11"/>
        <v>119687.03</v>
      </c>
    </row>
    <row r="84" spans="1:13" ht="30">
      <c r="A84" s="45"/>
      <c r="B84" s="39" t="s">
        <v>14</v>
      </c>
      <c r="C84" s="40" t="s">
        <v>85</v>
      </c>
      <c r="D84" s="41" t="s">
        <v>89</v>
      </c>
      <c r="E84" s="57" t="s">
        <v>123</v>
      </c>
      <c r="F84" s="41">
        <v>500</v>
      </c>
      <c r="G84" s="41"/>
      <c r="H84" s="153"/>
      <c r="I84" s="140">
        <f>SUM(I85:I91)</f>
        <v>393788</v>
      </c>
      <c r="J84" s="46">
        <f>SUM(J85:J91)</f>
        <v>77207.15</v>
      </c>
      <c r="K84" s="46">
        <f>SUM(K85:K91)</f>
        <v>98446.91</v>
      </c>
      <c r="L84" s="46">
        <f>SUM(L85:L91)</f>
        <v>98446.91</v>
      </c>
      <c r="M84" s="46">
        <f>SUM(M85:M91)</f>
        <v>119687.03</v>
      </c>
    </row>
    <row r="85" spans="1:13" ht="30">
      <c r="A85" s="45"/>
      <c r="B85" s="39" t="s">
        <v>166</v>
      </c>
      <c r="C85" s="40" t="s">
        <v>85</v>
      </c>
      <c r="D85" s="41" t="s">
        <v>89</v>
      </c>
      <c r="E85" s="57" t="s">
        <v>123</v>
      </c>
      <c r="F85" s="41">
        <v>500</v>
      </c>
      <c r="G85" s="41" t="s">
        <v>163</v>
      </c>
      <c r="H85" s="153"/>
      <c r="I85" s="148">
        <f aca="true" t="shared" si="12" ref="I85:I91">SUM(J85:M85)</f>
        <v>203170.6</v>
      </c>
      <c r="J85" s="46">
        <v>33861.77</v>
      </c>
      <c r="K85" s="46">
        <v>50792.65</v>
      </c>
      <c r="L85" s="46">
        <v>50792.65</v>
      </c>
      <c r="M85" s="46">
        <v>67723.53</v>
      </c>
    </row>
    <row r="86" spans="1:13" ht="30">
      <c r="A86" s="45"/>
      <c r="B86" s="39" t="s">
        <v>168</v>
      </c>
      <c r="C86" s="40" t="s">
        <v>85</v>
      </c>
      <c r="D86" s="41" t="s">
        <v>89</v>
      </c>
      <c r="E86" s="57" t="s">
        <v>123</v>
      </c>
      <c r="F86" s="41">
        <v>500</v>
      </c>
      <c r="G86" s="41" t="s">
        <v>165</v>
      </c>
      <c r="H86" s="153"/>
      <c r="I86" s="148">
        <f t="shared" si="12"/>
        <v>51706.57</v>
      </c>
      <c r="J86" s="46">
        <v>8617.76</v>
      </c>
      <c r="K86" s="46">
        <v>12926.64</v>
      </c>
      <c r="L86" s="46">
        <v>12926.64</v>
      </c>
      <c r="M86" s="46">
        <v>17235.53</v>
      </c>
    </row>
    <row r="87" spans="1:13" ht="30">
      <c r="A87" s="45"/>
      <c r="B87" s="39" t="s">
        <v>157</v>
      </c>
      <c r="C87" s="40" t="s">
        <v>85</v>
      </c>
      <c r="D87" s="41" t="s">
        <v>89</v>
      </c>
      <c r="E87" s="57" t="s">
        <v>123</v>
      </c>
      <c r="F87" s="41">
        <v>500</v>
      </c>
      <c r="G87" s="41" t="s">
        <v>170</v>
      </c>
      <c r="H87" s="153"/>
      <c r="I87" s="148">
        <f t="shared" si="12"/>
        <v>19487.48</v>
      </c>
      <c r="J87" s="46">
        <v>4871.87</v>
      </c>
      <c r="K87" s="46">
        <v>4871.87</v>
      </c>
      <c r="L87" s="46">
        <v>4871.87</v>
      </c>
      <c r="M87" s="46">
        <v>4871.87</v>
      </c>
    </row>
    <row r="88" spans="1:13" ht="30">
      <c r="A88" s="45"/>
      <c r="B88" s="39" t="s">
        <v>158</v>
      </c>
      <c r="C88" s="40" t="s">
        <v>85</v>
      </c>
      <c r="D88" s="41" t="s">
        <v>89</v>
      </c>
      <c r="E88" s="57" t="s">
        <v>123</v>
      </c>
      <c r="F88" s="41">
        <v>500</v>
      </c>
      <c r="G88" s="41" t="s">
        <v>171</v>
      </c>
      <c r="H88" s="153"/>
      <c r="I88" s="148">
        <f t="shared" si="12"/>
        <v>5620</v>
      </c>
      <c r="J88" s="46">
        <v>1405</v>
      </c>
      <c r="K88" s="46">
        <v>1405</v>
      </c>
      <c r="L88" s="46">
        <v>1405</v>
      </c>
      <c r="M88" s="46">
        <v>1405</v>
      </c>
    </row>
    <row r="89" spans="1:13" ht="30">
      <c r="A89" s="45"/>
      <c r="B89" s="39" t="s">
        <v>159</v>
      </c>
      <c r="C89" s="40" t="s">
        <v>85</v>
      </c>
      <c r="D89" s="41" t="s">
        <v>89</v>
      </c>
      <c r="E89" s="57" t="s">
        <v>123</v>
      </c>
      <c r="F89" s="41">
        <v>500</v>
      </c>
      <c r="G89" s="41" t="s">
        <v>173</v>
      </c>
      <c r="H89" s="153"/>
      <c r="I89" s="148">
        <f t="shared" si="12"/>
        <v>4635</v>
      </c>
      <c r="J89" s="46">
        <v>1158.75</v>
      </c>
      <c r="K89" s="46">
        <v>1158.75</v>
      </c>
      <c r="L89" s="46">
        <v>1158.75</v>
      </c>
      <c r="M89" s="46">
        <v>1158.75</v>
      </c>
    </row>
    <row r="90" spans="1:13" ht="30">
      <c r="A90" s="45"/>
      <c r="B90" s="39" t="s">
        <v>161</v>
      </c>
      <c r="C90" s="40" t="s">
        <v>85</v>
      </c>
      <c r="D90" s="41" t="s">
        <v>89</v>
      </c>
      <c r="E90" s="57" t="s">
        <v>123</v>
      </c>
      <c r="F90" s="41">
        <v>500</v>
      </c>
      <c r="G90" s="41" t="s">
        <v>176</v>
      </c>
      <c r="H90" s="153"/>
      <c r="I90" s="148">
        <f t="shared" si="12"/>
        <v>40000</v>
      </c>
      <c r="J90" s="46">
        <v>10000</v>
      </c>
      <c r="K90" s="46">
        <v>10000</v>
      </c>
      <c r="L90" s="46">
        <v>10000</v>
      </c>
      <c r="M90" s="46">
        <v>10000</v>
      </c>
    </row>
    <row r="91" spans="1:13" ht="30">
      <c r="A91" s="45"/>
      <c r="B91" s="39" t="s">
        <v>162</v>
      </c>
      <c r="C91" s="40" t="s">
        <v>85</v>
      </c>
      <c r="D91" s="41" t="s">
        <v>89</v>
      </c>
      <c r="E91" s="57" t="s">
        <v>123</v>
      </c>
      <c r="F91" s="41">
        <v>500</v>
      </c>
      <c r="G91" s="41" t="s">
        <v>177</v>
      </c>
      <c r="H91" s="153"/>
      <c r="I91" s="148">
        <f t="shared" si="12"/>
        <v>69168.35</v>
      </c>
      <c r="J91" s="46">
        <v>17292</v>
      </c>
      <c r="K91" s="46">
        <v>17292</v>
      </c>
      <c r="L91" s="46">
        <v>17292</v>
      </c>
      <c r="M91" s="46">
        <v>17292.35</v>
      </c>
    </row>
    <row r="92" spans="1:13" ht="12.75" customHeight="1">
      <c r="A92" s="45"/>
      <c r="B92" s="136" t="s">
        <v>30</v>
      </c>
      <c r="C92" s="40" t="s">
        <v>85</v>
      </c>
      <c r="D92" s="58" t="s">
        <v>90</v>
      </c>
      <c r="E92" s="59"/>
      <c r="F92" s="59"/>
      <c r="G92" s="59"/>
      <c r="H92" s="159"/>
      <c r="I92" s="139">
        <f>I93</f>
        <v>490000</v>
      </c>
      <c r="J92" s="46">
        <f aca="true" t="shared" si="13" ref="J92:M95">J93</f>
        <v>90000</v>
      </c>
      <c r="K92" s="46">
        <f t="shared" si="13"/>
        <v>122500</v>
      </c>
      <c r="L92" s="46">
        <f t="shared" si="13"/>
        <v>122500</v>
      </c>
      <c r="M92" s="46">
        <f t="shared" si="13"/>
        <v>155000</v>
      </c>
    </row>
    <row r="93" spans="1:13" ht="24" customHeight="1">
      <c r="A93" s="45"/>
      <c r="B93" s="136" t="s">
        <v>31</v>
      </c>
      <c r="C93" s="40" t="s">
        <v>85</v>
      </c>
      <c r="D93" s="41" t="s">
        <v>91</v>
      </c>
      <c r="E93" s="41"/>
      <c r="F93" s="41"/>
      <c r="G93" s="41"/>
      <c r="H93" s="153"/>
      <c r="I93" s="140">
        <f>I94</f>
        <v>490000</v>
      </c>
      <c r="J93" s="46">
        <f t="shared" si="13"/>
        <v>90000</v>
      </c>
      <c r="K93" s="46">
        <f t="shared" si="13"/>
        <v>122500</v>
      </c>
      <c r="L93" s="46">
        <f t="shared" si="13"/>
        <v>122500</v>
      </c>
      <c r="M93" s="46">
        <f t="shared" si="13"/>
        <v>155000</v>
      </c>
    </row>
    <row r="94" spans="1:13" ht="28.5" customHeight="1">
      <c r="A94" s="45"/>
      <c r="B94" s="4" t="s">
        <v>32</v>
      </c>
      <c r="C94" s="40" t="s">
        <v>85</v>
      </c>
      <c r="D94" s="41" t="s">
        <v>91</v>
      </c>
      <c r="E94" s="41">
        <v>2180000</v>
      </c>
      <c r="F94" s="41"/>
      <c r="G94" s="41"/>
      <c r="H94" s="153"/>
      <c r="I94" s="140">
        <f>I95</f>
        <v>490000</v>
      </c>
      <c r="J94" s="46">
        <f t="shared" si="13"/>
        <v>90000</v>
      </c>
      <c r="K94" s="46">
        <f t="shared" si="13"/>
        <v>122500</v>
      </c>
      <c r="L94" s="46">
        <f t="shared" si="13"/>
        <v>122500</v>
      </c>
      <c r="M94" s="46">
        <f t="shared" si="13"/>
        <v>155000</v>
      </c>
    </row>
    <row r="95" spans="1:13" ht="30">
      <c r="A95" s="45"/>
      <c r="B95" s="136" t="s">
        <v>33</v>
      </c>
      <c r="C95" s="40" t="s">
        <v>85</v>
      </c>
      <c r="D95" s="41" t="s">
        <v>91</v>
      </c>
      <c r="E95" s="41">
        <v>2180100</v>
      </c>
      <c r="F95" s="41"/>
      <c r="G95" s="41"/>
      <c r="H95" s="153"/>
      <c r="I95" s="140">
        <f>I96</f>
        <v>490000</v>
      </c>
      <c r="J95" s="46">
        <f t="shared" si="13"/>
        <v>90000</v>
      </c>
      <c r="K95" s="46">
        <f t="shared" si="13"/>
        <v>122500</v>
      </c>
      <c r="L95" s="46">
        <f t="shared" si="13"/>
        <v>122500</v>
      </c>
      <c r="M95" s="46">
        <f t="shared" si="13"/>
        <v>155000</v>
      </c>
    </row>
    <row r="96" spans="1:13" ht="30">
      <c r="A96" s="45"/>
      <c r="B96" s="39" t="s">
        <v>14</v>
      </c>
      <c r="C96" s="40" t="s">
        <v>85</v>
      </c>
      <c r="D96" s="41" t="s">
        <v>91</v>
      </c>
      <c r="E96" s="41">
        <v>2180100</v>
      </c>
      <c r="F96" s="41" t="s">
        <v>110</v>
      </c>
      <c r="G96" s="41"/>
      <c r="H96" s="153"/>
      <c r="I96" s="140">
        <f>I97+I98</f>
        <v>490000</v>
      </c>
      <c r="J96" s="46">
        <f>J97+J98</f>
        <v>90000</v>
      </c>
      <c r="K96" s="46">
        <f>K97+K98</f>
        <v>122500</v>
      </c>
      <c r="L96" s="46">
        <f>L97+L98</f>
        <v>122500</v>
      </c>
      <c r="M96" s="46">
        <f>M97+M98</f>
        <v>155000</v>
      </c>
    </row>
    <row r="97" spans="1:13" ht="30">
      <c r="A97" s="45"/>
      <c r="B97" s="39" t="s">
        <v>181</v>
      </c>
      <c r="C97" s="40" t="s">
        <v>85</v>
      </c>
      <c r="D97" s="41" t="s">
        <v>91</v>
      </c>
      <c r="E97" s="41">
        <v>2180100</v>
      </c>
      <c r="F97" s="41" t="s">
        <v>110</v>
      </c>
      <c r="G97" s="41">
        <v>226</v>
      </c>
      <c r="H97" s="153"/>
      <c r="I97" s="140">
        <f>220000+170000</f>
        <v>390000</v>
      </c>
      <c r="J97" s="46">
        <v>65000</v>
      </c>
      <c r="K97" s="46">
        <v>97500</v>
      </c>
      <c r="L97" s="46">
        <v>97500</v>
      </c>
      <c r="M97" s="46">
        <v>130000</v>
      </c>
    </row>
    <row r="98" spans="1:13" ht="30">
      <c r="A98" s="45"/>
      <c r="B98" s="39" t="s">
        <v>162</v>
      </c>
      <c r="C98" s="40" t="s">
        <v>85</v>
      </c>
      <c r="D98" s="41" t="s">
        <v>91</v>
      </c>
      <c r="E98" s="41">
        <v>2180100</v>
      </c>
      <c r="F98" s="41" t="s">
        <v>110</v>
      </c>
      <c r="G98" s="41" t="s">
        <v>177</v>
      </c>
      <c r="H98" s="153"/>
      <c r="I98" s="140">
        <v>100000</v>
      </c>
      <c r="J98" s="46">
        <v>25000</v>
      </c>
      <c r="K98" s="46">
        <v>25000</v>
      </c>
      <c r="L98" s="46">
        <v>25000</v>
      </c>
      <c r="M98" s="46">
        <v>25000</v>
      </c>
    </row>
    <row r="99" spans="1:13" ht="30">
      <c r="A99" s="45"/>
      <c r="B99" s="39" t="s">
        <v>34</v>
      </c>
      <c r="C99" s="40" t="s">
        <v>85</v>
      </c>
      <c r="D99" s="58" t="s">
        <v>92</v>
      </c>
      <c r="E99" s="58"/>
      <c r="F99" s="58"/>
      <c r="G99" s="58"/>
      <c r="H99" s="160"/>
      <c r="I99" s="182">
        <f>I103+I105</f>
        <v>4878950</v>
      </c>
      <c r="J99" s="46">
        <f>J103+J105</f>
        <v>1016450</v>
      </c>
      <c r="K99" s="46">
        <f>K103+K105</f>
        <v>1287500</v>
      </c>
      <c r="L99" s="46">
        <f>L103+L105</f>
        <v>1287500</v>
      </c>
      <c r="M99" s="46">
        <f>M103+M105</f>
        <v>1287500</v>
      </c>
    </row>
    <row r="100" spans="1:13" ht="30">
      <c r="A100" s="45"/>
      <c r="B100" s="39" t="s">
        <v>35</v>
      </c>
      <c r="C100" s="40" t="s">
        <v>85</v>
      </c>
      <c r="D100" s="41" t="s">
        <v>93</v>
      </c>
      <c r="E100" s="41"/>
      <c r="F100" s="41"/>
      <c r="G100" s="41"/>
      <c r="H100" s="153"/>
      <c r="I100" s="140">
        <f>I101</f>
        <v>150000</v>
      </c>
      <c r="J100" s="46">
        <f aca="true" t="shared" si="14" ref="J100:M103">J101</f>
        <v>37500</v>
      </c>
      <c r="K100" s="46">
        <f t="shared" si="14"/>
        <v>37500</v>
      </c>
      <c r="L100" s="46">
        <f t="shared" si="14"/>
        <v>37500</v>
      </c>
      <c r="M100" s="46">
        <f t="shared" si="14"/>
        <v>37500</v>
      </c>
    </row>
    <row r="101" spans="1:13" ht="30">
      <c r="A101" s="45"/>
      <c r="B101" s="39" t="s">
        <v>36</v>
      </c>
      <c r="C101" s="40" t="s">
        <v>85</v>
      </c>
      <c r="D101" s="41" t="s">
        <v>93</v>
      </c>
      <c r="E101" s="41">
        <v>2480000</v>
      </c>
      <c r="F101" s="41"/>
      <c r="G101" s="41"/>
      <c r="H101" s="153"/>
      <c r="I101" s="140">
        <f>I102</f>
        <v>150000</v>
      </c>
      <c r="J101" s="46">
        <f t="shared" si="14"/>
        <v>37500</v>
      </c>
      <c r="K101" s="46">
        <f t="shared" si="14"/>
        <v>37500</v>
      </c>
      <c r="L101" s="46">
        <f t="shared" si="14"/>
        <v>37500</v>
      </c>
      <c r="M101" s="46">
        <f t="shared" si="14"/>
        <v>37500</v>
      </c>
    </row>
    <row r="102" spans="1:13" ht="75">
      <c r="A102" s="45"/>
      <c r="B102" s="39" t="s">
        <v>37</v>
      </c>
      <c r="C102" s="40" t="s">
        <v>85</v>
      </c>
      <c r="D102" s="41" t="s">
        <v>93</v>
      </c>
      <c r="E102" s="41">
        <v>2480100</v>
      </c>
      <c r="F102" s="41"/>
      <c r="G102" s="41"/>
      <c r="H102" s="153"/>
      <c r="I102" s="140">
        <f>I103</f>
        <v>150000</v>
      </c>
      <c r="J102" s="46">
        <f t="shared" si="14"/>
        <v>37500</v>
      </c>
      <c r="K102" s="46">
        <f t="shared" si="14"/>
        <v>37500</v>
      </c>
      <c r="L102" s="46">
        <f t="shared" si="14"/>
        <v>37500</v>
      </c>
      <c r="M102" s="46">
        <f t="shared" si="14"/>
        <v>37500</v>
      </c>
    </row>
    <row r="103" spans="1:13" ht="30">
      <c r="A103" s="45"/>
      <c r="B103" s="39" t="s">
        <v>38</v>
      </c>
      <c r="C103" s="40" t="s">
        <v>85</v>
      </c>
      <c r="D103" s="41" t="s">
        <v>93</v>
      </c>
      <c r="E103" s="41">
        <v>2480100</v>
      </c>
      <c r="F103" s="41" t="s">
        <v>108</v>
      </c>
      <c r="G103" s="41"/>
      <c r="H103" s="153"/>
      <c r="I103" s="140">
        <f>I104</f>
        <v>150000</v>
      </c>
      <c r="J103" s="46">
        <f t="shared" si="14"/>
        <v>37500</v>
      </c>
      <c r="K103" s="46">
        <f t="shared" si="14"/>
        <v>37500</v>
      </c>
      <c r="L103" s="46">
        <f t="shared" si="14"/>
        <v>37500</v>
      </c>
      <c r="M103" s="46">
        <f t="shared" si="14"/>
        <v>37500</v>
      </c>
    </row>
    <row r="104" spans="1:13" ht="30">
      <c r="A104" s="45"/>
      <c r="B104" s="39" t="s">
        <v>184</v>
      </c>
      <c r="C104" s="40" t="s">
        <v>85</v>
      </c>
      <c r="D104" s="41" t="s">
        <v>93</v>
      </c>
      <c r="E104" s="41">
        <v>2480100</v>
      </c>
      <c r="F104" s="41" t="s">
        <v>108</v>
      </c>
      <c r="G104" s="41" t="s">
        <v>182</v>
      </c>
      <c r="H104" s="153"/>
      <c r="I104" s="140">
        <f>SUM(J104:M104)</f>
        <v>150000</v>
      </c>
      <c r="J104" s="46">
        <v>37500</v>
      </c>
      <c r="K104" s="46">
        <v>37500</v>
      </c>
      <c r="L104" s="46">
        <v>37500</v>
      </c>
      <c r="M104" s="46">
        <v>37500</v>
      </c>
    </row>
    <row r="105" spans="1:13" ht="30">
      <c r="A105" s="45"/>
      <c r="B105" s="39" t="s">
        <v>39</v>
      </c>
      <c r="C105" s="40" t="s">
        <v>85</v>
      </c>
      <c r="D105" s="41" t="s">
        <v>94</v>
      </c>
      <c r="E105" s="41"/>
      <c r="F105" s="41"/>
      <c r="G105" s="41"/>
      <c r="H105" s="153"/>
      <c r="I105" s="140">
        <f>I107+I111</f>
        <v>4728950</v>
      </c>
      <c r="J105" s="46">
        <f>J107+J111</f>
        <v>978950</v>
      </c>
      <c r="K105" s="46">
        <f>K107+K111</f>
        <v>1250000</v>
      </c>
      <c r="L105" s="46">
        <f>L107+L111</f>
        <v>1250000</v>
      </c>
      <c r="M105" s="46">
        <f>M107+M111</f>
        <v>1250000</v>
      </c>
    </row>
    <row r="106" spans="1:13" ht="28.5" customHeight="1">
      <c r="A106" s="45"/>
      <c r="B106" s="39" t="s">
        <v>40</v>
      </c>
      <c r="C106" s="40" t="s">
        <v>85</v>
      </c>
      <c r="D106" s="41" t="s">
        <v>94</v>
      </c>
      <c r="E106" s="41">
        <v>3380000</v>
      </c>
      <c r="F106" s="41"/>
      <c r="G106" s="41"/>
      <c r="H106" s="153"/>
      <c r="I106" s="140">
        <f>I107</f>
        <v>2323950</v>
      </c>
      <c r="J106" s="46">
        <f aca="true" t="shared" si="15" ref="J106:M107">J107</f>
        <v>298950</v>
      </c>
      <c r="K106" s="46">
        <f t="shared" si="15"/>
        <v>675000</v>
      </c>
      <c r="L106" s="46">
        <f t="shared" si="15"/>
        <v>675000</v>
      </c>
      <c r="M106" s="46">
        <f t="shared" si="15"/>
        <v>675000</v>
      </c>
    </row>
    <row r="107" spans="1:13" ht="30">
      <c r="A107" s="45"/>
      <c r="B107" s="39" t="s">
        <v>14</v>
      </c>
      <c r="C107" s="40" t="s">
        <v>85</v>
      </c>
      <c r="D107" s="41" t="s">
        <v>94</v>
      </c>
      <c r="E107" s="41">
        <v>3380000</v>
      </c>
      <c r="F107" s="41">
        <v>500</v>
      </c>
      <c r="G107" s="41"/>
      <c r="H107" s="153"/>
      <c r="I107" s="140">
        <f>I108</f>
        <v>2323950</v>
      </c>
      <c r="J107" s="46">
        <f t="shared" si="15"/>
        <v>298950</v>
      </c>
      <c r="K107" s="46">
        <f t="shared" si="15"/>
        <v>675000</v>
      </c>
      <c r="L107" s="46">
        <f t="shared" si="15"/>
        <v>675000</v>
      </c>
      <c r="M107" s="46">
        <f t="shared" si="15"/>
        <v>675000</v>
      </c>
    </row>
    <row r="108" spans="1:13" ht="30">
      <c r="A108" s="45"/>
      <c r="B108" s="39" t="s">
        <v>181</v>
      </c>
      <c r="C108" s="40" t="s">
        <v>85</v>
      </c>
      <c r="D108" s="41" t="s">
        <v>94</v>
      </c>
      <c r="E108" s="41">
        <v>3380000</v>
      </c>
      <c r="F108" s="41">
        <v>500</v>
      </c>
      <c r="G108" s="41" t="s">
        <v>174</v>
      </c>
      <c r="H108" s="153"/>
      <c r="I108" s="140">
        <f>SUM(J108:M108)</f>
        <v>2323950</v>
      </c>
      <c r="J108" s="46">
        <f>675000+825000-500000-701050</f>
        <v>298950</v>
      </c>
      <c r="K108" s="46">
        <v>675000</v>
      </c>
      <c r="L108" s="46">
        <v>675000</v>
      </c>
      <c r="M108" s="46">
        <v>675000</v>
      </c>
    </row>
    <row r="109" spans="1:13" ht="27" customHeight="1">
      <c r="A109" s="45"/>
      <c r="B109" s="39" t="s">
        <v>41</v>
      </c>
      <c r="C109" s="40" t="s">
        <v>85</v>
      </c>
      <c r="D109" s="41" t="s">
        <v>94</v>
      </c>
      <c r="E109" s="41">
        <v>3400000</v>
      </c>
      <c r="F109" s="41"/>
      <c r="G109" s="41"/>
      <c r="H109" s="153"/>
      <c r="I109" s="140">
        <f>I110</f>
        <v>2405000</v>
      </c>
      <c r="J109" s="46">
        <f aca="true" t="shared" si="16" ref="J109:M111">J110</f>
        <v>680000</v>
      </c>
      <c r="K109" s="46">
        <f t="shared" si="16"/>
        <v>575000</v>
      </c>
      <c r="L109" s="46">
        <f t="shared" si="16"/>
        <v>575000</v>
      </c>
      <c r="M109" s="46">
        <f t="shared" si="16"/>
        <v>575000</v>
      </c>
    </row>
    <row r="110" spans="1:13" ht="30">
      <c r="A110" s="45"/>
      <c r="B110" s="39" t="s">
        <v>42</v>
      </c>
      <c r="C110" s="40" t="s">
        <v>85</v>
      </c>
      <c r="D110" s="41" t="s">
        <v>94</v>
      </c>
      <c r="E110" s="41">
        <v>3400300</v>
      </c>
      <c r="F110" s="57"/>
      <c r="G110" s="57"/>
      <c r="H110" s="158"/>
      <c r="I110" s="140">
        <f>I111</f>
        <v>2405000</v>
      </c>
      <c r="J110" s="46">
        <f t="shared" si="16"/>
        <v>680000</v>
      </c>
      <c r="K110" s="46">
        <f t="shared" si="16"/>
        <v>575000</v>
      </c>
      <c r="L110" s="46">
        <f t="shared" si="16"/>
        <v>575000</v>
      </c>
      <c r="M110" s="46">
        <f t="shared" si="16"/>
        <v>575000</v>
      </c>
    </row>
    <row r="111" spans="1:13" ht="30">
      <c r="A111" s="45"/>
      <c r="B111" s="39" t="s">
        <v>14</v>
      </c>
      <c r="C111" s="40" t="s">
        <v>85</v>
      </c>
      <c r="D111" s="41" t="s">
        <v>94</v>
      </c>
      <c r="E111" s="41">
        <v>3400300</v>
      </c>
      <c r="F111" s="41">
        <v>500</v>
      </c>
      <c r="G111" s="41"/>
      <c r="H111" s="153"/>
      <c r="I111" s="140">
        <f>I112</f>
        <v>2405000</v>
      </c>
      <c r="J111" s="46">
        <f t="shared" si="16"/>
        <v>680000</v>
      </c>
      <c r="K111" s="46">
        <f t="shared" si="16"/>
        <v>575000</v>
      </c>
      <c r="L111" s="46">
        <f t="shared" si="16"/>
        <v>575000</v>
      </c>
      <c r="M111" s="46">
        <f t="shared" si="16"/>
        <v>575000</v>
      </c>
    </row>
    <row r="112" spans="1:13" ht="30">
      <c r="A112" s="45"/>
      <c r="B112" s="39" t="s">
        <v>181</v>
      </c>
      <c r="C112" s="40" t="s">
        <v>85</v>
      </c>
      <c r="D112" s="41" t="s">
        <v>94</v>
      </c>
      <c r="E112" s="41">
        <v>3400300</v>
      </c>
      <c r="F112" s="41">
        <v>500</v>
      </c>
      <c r="G112" s="41" t="s">
        <v>174</v>
      </c>
      <c r="H112" s="153"/>
      <c r="I112" s="140">
        <f>SUM(J112:M112)</f>
        <v>2405000</v>
      </c>
      <c r="J112" s="46">
        <f>875000+105000-300000</f>
        <v>680000</v>
      </c>
      <c r="K112" s="46">
        <f>875000-300000</f>
        <v>575000</v>
      </c>
      <c r="L112" s="46">
        <f>875000-300000</f>
        <v>575000</v>
      </c>
      <c r="M112" s="46">
        <f>875000-300000</f>
        <v>575000</v>
      </c>
    </row>
    <row r="113" spans="1:13" ht="30">
      <c r="A113" s="45"/>
      <c r="B113" s="39" t="s">
        <v>43</v>
      </c>
      <c r="C113" s="40" t="s">
        <v>85</v>
      </c>
      <c r="D113" s="58" t="s">
        <v>95</v>
      </c>
      <c r="E113" s="58"/>
      <c r="F113" s="58"/>
      <c r="G113" s="58"/>
      <c r="H113" s="160"/>
      <c r="I113" s="180">
        <f>I114+I149+I163</f>
        <v>139430337</v>
      </c>
      <c r="J113" s="54">
        <f>J114+J149+J163</f>
        <v>2760460.93</v>
      </c>
      <c r="K113" s="54">
        <f>K114+K149+K163</f>
        <v>113245276.67</v>
      </c>
      <c r="L113" s="54">
        <f>L114+L149+L163</f>
        <v>18836999.4</v>
      </c>
      <c r="M113" s="54">
        <f>M114+M149+M163</f>
        <v>4587600</v>
      </c>
    </row>
    <row r="114" spans="1:13" ht="30">
      <c r="A114" s="45"/>
      <c r="B114" s="39" t="s">
        <v>44</v>
      </c>
      <c r="C114" s="40" t="s">
        <v>85</v>
      </c>
      <c r="D114" s="41" t="s">
        <v>96</v>
      </c>
      <c r="E114" s="41"/>
      <c r="F114" s="41"/>
      <c r="G114" s="41"/>
      <c r="H114" s="153"/>
      <c r="I114" s="179">
        <f>I131+I142+I140+I134+I122+I116+I120+I126+I129+I137</f>
        <v>114010305</v>
      </c>
      <c r="J114" s="54">
        <f>J131+J142+J140+J134+J122+J116+J120+J126+J129+J137</f>
        <v>75000</v>
      </c>
      <c r="K114" s="54">
        <f>K131+K142+K140+K134+K122+K116+K120+K126+K129+K137</f>
        <v>105113000</v>
      </c>
      <c r="L114" s="54">
        <f>L131+L142+L140+L134+L122+L116+L120+L126+L129+L137</f>
        <v>8747305</v>
      </c>
      <c r="M114" s="54">
        <f>M131+M142+M140+M134+M122+M116+M120+M126+M129+M137</f>
        <v>75000</v>
      </c>
    </row>
    <row r="115" spans="1:13" ht="45">
      <c r="A115" s="45"/>
      <c r="B115" s="39" t="s">
        <v>221</v>
      </c>
      <c r="C115" s="40" t="s">
        <v>85</v>
      </c>
      <c r="D115" s="41" t="s">
        <v>96</v>
      </c>
      <c r="E115" s="41" t="s">
        <v>222</v>
      </c>
      <c r="F115" s="41"/>
      <c r="G115" s="41"/>
      <c r="H115" s="153"/>
      <c r="I115" s="141">
        <f>I116</f>
        <v>23070300</v>
      </c>
      <c r="J115" s="46">
        <f>J116</f>
        <v>0</v>
      </c>
      <c r="K115" s="46">
        <f>K116</f>
        <v>23070300</v>
      </c>
      <c r="L115" s="46">
        <f>L116</f>
        <v>0</v>
      </c>
      <c r="M115" s="46">
        <f>M116</f>
        <v>0</v>
      </c>
    </row>
    <row r="116" spans="1:13" ht="30">
      <c r="A116" s="45"/>
      <c r="B116" s="39" t="s">
        <v>38</v>
      </c>
      <c r="C116" s="40" t="s">
        <v>85</v>
      </c>
      <c r="D116" s="41" t="s">
        <v>96</v>
      </c>
      <c r="E116" s="41" t="s">
        <v>222</v>
      </c>
      <c r="F116" s="41" t="s">
        <v>108</v>
      </c>
      <c r="G116" s="41"/>
      <c r="H116" s="153"/>
      <c r="I116" s="140">
        <f>SUM(J116:M116)</f>
        <v>23070300</v>
      </c>
      <c r="J116" s="46">
        <f>J117</f>
        <v>0</v>
      </c>
      <c r="K116" s="46">
        <f>K117</f>
        <v>23070300</v>
      </c>
      <c r="L116" s="46">
        <f>L117</f>
        <v>0</v>
      </c>
      <c r="M116" s="46">
        <f>M117</f>
        <v>0</v>
      </c>
    </row>
    <row r="117" spans="1:13" ht="30.75" customHeight="1">
      <c r="A117" s="45"/>
      <c r="B117" s="4" t="s">
        <v>185</v>
      </c>
      <c r="C117" s="40" t="s">
        <v>85</v>
      </c>
      <c r="D117" s="41" t="s">
        <v>96</v>
      </c>
      <c r="E117" s="41" t="s">
        <v>222</v>
      </c>
      <c r="F117" s="41" t="s">
        <v>108</v>
      </c>
      <c r="G117" s="41" t="s">
        <v>183</v>
      </c>
      <c r="H117" s="153"/>
      <c r="I117" s="140">
        <f>SUM(J117:M117)</f>
        <v>23070300</v>
      </c>
      <c r="J117" s="46">
        <v>0</v>
      </c>
      <c r="K117" s="46">
        <v>23070300</v>
      </c>
      <c r="L117" s="46">
        <v>0</v>
      </c>
      <c r="M117" s="46">
        <v>0</v>
      </c>
    </row>
    <row r="118" spans="1:13" ht="28.5" customHeight="1">
      <c r="A118" s="45"/>
      <c r="B118" s="4" t="s">
        <v>235</v>
      </c>
      <c r="C118" s="40" t="s">
        <v>85</v>
      </c>
      <c r="D118" s="41" t="s">
        <v>96</v>
      </c>
      <c r="E118" s="41" t="s">
        <v>225</v>
      </c>
      <c r="F118" s="41"/>
      <c r="G118" s="41"/>
      <c r="H118" s="153"/>
      <c r="I118" s="140">
        <f>SUM(J118:M118)</f>
        <v>71853105</v>
      </c>
      <c r="J118" s="46">
        <f aca="true" t="shared" si="17" ref="J118:M119">J119</f>
        <v>0</v>
      </c>
      <c r="K118" s="46">
        <f t="shared" si="17"/>
        <v>71853105</v>
      </c>
      <c r="L118" s="46">
        <f t="shared" si="17"/>
        <v>0</v>
      </c>
      <c r="M118" s="46">
        <f t="shared" si="17"/>
        <v>0</v>
      </c>
    </row>
    <row r="119" spans="1:13" ht="28.5" customHeight="1">
      <c r="A119" s="45"/>
      <c r="B119" s="4" t="s">
        <v>14</v>
      </c>
      <c r="C119" s="40" t="s">
        <v>85</v>
      </c>
      <c r="D119" s="41" t="s">
        <v>96</v>
      </c>
      <c r="E119" s="41" t="s">
        <v>225</v>
      </c>
      <c r="F119" s="41" t="s">
        <v>110</v>
      </c>
      <c r="G119" s="41"/>
      <c r="H119" s="153"/>
      <c r="I119" s="140">
        <f>SUM(J119:M119)</f>
        <v>71853105</v>
      </c>
      <c r="J119" s="46">
        <f t="shared" si="17"/>
        <v>0</v>
      </c>
      <c r="K119" s="46">
        <f t="shared" si="17"/>
        <v>71853105</v>
      </c>
      <c r="L119" s="46">
        <f t="shared" si="17"/>
        <v>0</v>
      </c>
      <c r="M119" s="46">
        <f t="shared" si="17"/>
        <v>0</v>
      </c>
    </row>
    <row r="120" spans="1:13" ht="30.75" customHeight="1">
      <c r="A120" s="45"/>
      <c r="B120" s="4" t="s">
        <v>161</v>
      </c>
      <c r="C120" s="40" t="s">
        <v>85</v>
      </c>
      <c r="D120" s="41" t="s">
        <v>96</v>
      </c>
      <c r="E120" s="41" t="s">
        <v>225</v>
      </c>
      <c r="F120" s="41" t="s">
        <v>110</v>
      </c>
      <c r="G120" s="41" t="s">
        <v>176</v>
      </c>
      <c r="H120" s="153"/>
      <c r="I120" s="140">
        <f>SUM(J120:M120)</f>
        <v>71853105</v>
      </c>
      <c r="J120" s="46"/>
      <c r="K120" s="46">
        <v>71853105</v>
      </c>
      <c r="L120" s="46"/>
      <c r="M120" s="46"/>
    </row>
    <row r="121" spans="1:13" ht="45" customHeight="1">
      <c r="A121" s="45"/>
      <c r="B121" s="39" t="s">
        <v>220</v>
      </c>
      <c r="C121" s="40" t="s">
        <v>85</v>
      </c>
      <c r="D121" s="41" t="s">
        <v>96</v>
      </c>
      <c r="E121" s="41" t="s">
        <v>126</v>
      </c>
      <c r="F121" s="41"/>
      <c r="G121" s="41"/>
      <c r="H121" s="153"/>
      <c r="I121" s="140">
        <f>I122</f>
        <v>2051000</v>
      </c>
      <c r="J121" s="46">
        <f>J122</f>
        <v>0</v>
      </c>
      <c r="K121" s="46">
        <f>K122</f>
        <v>2051000</v>
      </c>
      <c r="L121" s="46">
        <f>L122</f>
        <v>0</v>
      </c>
      <c r="M121" s="46">
        <f>M122</f>
        <v>0</v>
      </c>
    </row>
    <row r="122" spans="1:13" ht="30.75" customHeight="1">
      <c r="A122" s="45"/>
      <c r="B122" s="39" t="s">
        <v>14</v>
      </c>
      <c r="C122" s="40" t="s">
        <v>85</v>
      </c>
      <c r="D122" s="41" t="s">
        <v>96</v>
      </c>
      <c r="E122" s="41" t="s">
        <v>126</v>
      </c>
      <c r="F122" s="41" t="s">
        <v>110</v>
      </c>
      <c r="G122" s="41"/>
      <c r="H122" s="153"/>
      <c r="I122" s="140">
        <f>SUM(J122:M122)</f>
        <v>2051000</v>
      </c>
      <c r="J122" s="46">
        <f>J123</f>
        <v>0</v>
      </c>
      <c r="K122" s="46">
        <f>K123</f>
        <v>2051000</v>
      </c>
      <c r="L122" s="46">
        <f>L123</f>
        <v>0</v>
      </c>
      <c r="M122" s="46">
        <f>M123</f>
        <v>0</v>
      </c>
    </row>
    <row r="123" spans="1:13" ht="30.75" customHeight="1">
      <c r="A123" s="45"/>
      <c r="B123" s="4" t="s">
        <v>185</v>
      </c>
      <c r="C123" s="40" t="s">
        <v>85</v>
      </c>
      <c r="D123" s="41" t="s">
        <v>96</v>
      </c>
      <c r="E123" s="41" t="s">
        <v>126</v>
      </c>
      <c r="F123" s="41" t="s">
        <v>110</v>
      </c>
      <c r="G123" s="41" t="s">
        <v>176</v>
      </c>
      <c r="H123" s="153"/>
      <c r="I123" s="140">
        <f>SUM(J123:M123)</f>
        <v>2051000</v>
      </c>
      <c r="J123" s="46">
        <v>0</v>
      </c>
      <c r="K123" s="46">
        <v>2051000</v>
      </c>
      <c r="L123" s="46">
        <v>0</v>
      </c>
      <c r="M123" s="46">
        <v>0</v>
      </c>
    </row>
    <row r="124" spans="1:13" ht="48" customHeight="1">
      <c r="A124" s="45"/>
      <c r="B124" s="39" t="s">
        <v>233</v>
      </c>
      <c r="C124" s="40" t="s">
        <v>85</v>
      </c>
      <c r="D124" s="41" t="s">
        <v>96</v>
      </c>
      <c r="E124" s="41" t="s">
        <v>226</v>
      </c>
      <c r="F124" s="41"/>
      <c r="G124" s="41"/>
      <c r="H124" s="153"/>
      <c r="I124" s="140">
        <f>I125</f>
        <v>7257235</v>
      </c>
      <c r="J124" s="46">
        <f>J125</f>
        <v>0</v>
      </c>
      <c r="K124" s="46">
        <f>K125</f>
        <v>7257235</v>
      </c>
      <c r="L124" s="46">
        <f>L125</f>
        <v>0</v>
      </c>
      <c r="M124" s="46">
        <f>M125</f>
        <v>0</v>
      </c>
    </row>
    <row r="125" spans="1:13" ht="30">
      <c r="A125" s="45"/>
      <c r="B125" s="39" t="s">
        <v>14</v>
      </c>
      <c r="C125" s="40" t="s">
        <v>85</v>
      </c>
      <c r="D125" s="41" t="s">
        <v>96</v>
      </c>
      <c r="E125" s="41" t="s">
        <v>226</v>
      </c>
      <c r="F125" s="41" t="s">
        <v>110</v>
      </c>
      <c r="G125" s="41"/>
      <c r="H125" s="153"/>
      <c r="I125" s="140">
        <f>SUM(J125:M125)</f>
        <v>7257235</v>
      </c>
      <c r="J125" s="46">
        <f>J126</f>
        <v>0</v>
      </c>
      <c r="K125" s="46">
        <f>K126</f>
        <v>7257235</v>
      </c>
      <c r="L125" s="46">
        <f>L126</f>
        <v>0</v>
      </c>
      <c r="M125" s="46">
        <f>M126</f>
        <v>0</v>
      </c>
    </row>
    <row r="126" spans="1:13" ht="27.75" customHeight="1">
      <c r="A126" s="45"/>
      <c r="B126" s="4" t="s">
        <v>161</v>
      </c>
      <c r="C126" s="40" t="s">
        <v>85</v>
      </c>
      <c r="D126" s="41" t="s">
        <v>96</v>
      </c>
      <c r="E126" s="41" t="s">
        <v>226</v>
      </c>
      <c r="F126" s="41" t="s">
        <v>110</v>
      </c>
      <c r="G126" s="41" t="s">
        <v>176</v>
      </c>
      <c r="H126" s="153"/>
      <c r="I126" s="140">
        <f>SUM(J126:M126)</f>
        <v>7257235</v>
      </c>
      <c r="J126" s="46">
        <v>0</v>
      </c>
      <c r="K126" s="46">
        <v>7257235</v>
      </c>
      <c r="L126" s="46">
        <v>0</v>
      </c>
      <c r="M126" s="46">
        <v>0</v>
      </c>
    </row>
    <row r="127" spans="1:13" ht="48" customHeight="1">
      <c r="A127" s="45"/>
      <c r="B127" s="39" t="s">
        <v>234</v>
      </c>
      <c r="C127" s="40" t="s">
        <v>85</v>
      </c>
      <c r="D127" s="41" t="s">
        <v>96</v>
      </c>
      <c r="E127" s="41" t="s">
        <v>226</v>
      </c>
      <c r="F127" s="41"/>
      <c r="G127" s="41"/>
      <c r="H127" s="153"/>
      <c r="I127" s="140">
        <f>I128</f>
        <v>806360</v>
      </c>
      <c r="J127" s="46">
        <f>J128</f>
        <v>0</v>
      </c>
      <c r="K127" s="46">
        <f>K128</f>
        <v>806360</v>
      </c>
      <c r="L127" s="46">
        <f>L128</f>
        <v>0</v>
      </c>
      <c r="M127" s="46">
        <f>M128</f>
        <v>0</v>
      </c>
    </row>
    <row r="128" spans="1:13" ht="30">
      <c r="A128" s="45"/>
      <c r="B128" s="39" t="s">
        <v>14</v>
      </c>
      <c r="C128" s="40" t="s">
        <v>85</v>
      </c>
      <c r="D128" s="41" t="s">
        <v>96</v>
      </c>
      <c r="E128" s="41" t="s">
        <v>226</v>
      </c>
      <c r="F128" s="41" t="s">
        <v>110</v>
      </c>
      <c r="G128" s="41"/>
      <c r="H128" s="153"/>
      <c r="I128" s="140">
        <f>SUM(J128:M128)</f>
        <v>806360</v>
      </c>
      <c r="J128" s="46">
        <f>J129</f>
        <v>0</v>
      </c>
      <c r="K128" s="46">
        <f>K129</f>
        <v>806360</v>
      </c>
      <c r="L128" s="46">
        <f>L129</f>
        <v>0</v>
      </c>
      <c r="M128" s="46">
        <f>M129</f>
        <v>0</v>
      </c>
    </row>
    <row r="129" spans="1:13" ht="27.75" customHeight="1">
      <c r="A129" s="45"/>
      <c r="B129" s="4" t="s">
        <v>161</v>
      </c>
      <c r="C129" s="40" t="s">
        <v>85</v>
      </c>
      <c r="D129" s="41" t="s">
        <v>96</v>
      </c>
      <c r="E129" s="41" t="s">
        <v>226</v>
      </c>
      <c r="F129" s="41" t="s">
        <v>110</v>
      </c>
      <c r="G129" s="41" t="s">
        <v>176</v>
      </c>
      <c r="H129" s="153"/>
      <c r="I129" s="140">
        <f>SUM(J129:M129)</f>
        <v>806360</v>
      </c>
      <c r="J129" s="46">
        <v>0</v>
      </c>
      <c r="K129" s="46">
        <v>806360</v>
      </c>
      <c r="L129" s="46">
        <v>0</v>
      </c>
      <c r="M129" s="46">
        <v>0</v>
      </c>
    </row>
    <row r="130" spans="1:13" ht="45" customHeight="1">
      <c r="A130" s="45"/>
      <c r="B130" s="39" t="s">
        <v>231</v>
      </c>
      <c r="C130" s="40" t="s">
        <v>85</v>
      </c>
      <c r="D130" s="41" t="s">
        <v>96</v>
      </c>
      <c r="E130" s="41" t="s">
        <v>126</v>
      </c>
      <c r="F130" s="41"/>
      <c r="G130" s="41"/>
      <c r="H130" s="153"/>
      <c r="I130" s="140">
        <f aca="true" t="shared" si="18" ref="I130:M131">I131</f>
        <v>684000</v>
      </c>
      <c r="J130" s="46">
        <f t="shared" si="18"/>
        <v>0</v>
      </c>
      <c r="K130" s="46">
        <f t="shared" si="18"/>
        <v>0</v>
      </c>
      <c r="L130" s="46">
        <f t="shared" si="18"/>
        <v>684000</v>
      </c>
      <c r="M130" s="46">
        <f t="shared" si="18"/>
        <v>0</v>
      </c>
    </row>
    <row r="131" spans="1:13" ht="30">
      <c r="A131" s="45"/>
      <c r="B131" s="39" t="s">
        <v>38</v>
      </c>
      <c r="C131" s="40" t="s">
        <v>85</v>
      </c>
      <c r="D131" s="41" t="s">
        <v>96</v>
      </c>
      <c r="E131" s="41" t="s">
        <v>126</v>
      </c>
      <c r="F131" s="41" t="s">
        <v>108</v>
      </c>
      <c r="G131" s="41"/>
      <c r="H131" s="153"/>
      <c r="I131" s="140">
        <f t="shared" si="18"/>
        <v>684000</v>
      </c>
      <c r="J131" s="46">
        <f t="shared" si="18"/>
        <v>0</v>
      </c>
      <c r="K131" s="46">
        <f t="shared" si="18"/>
        <v>0</v>
      </c>
      <c r="L131" s="46">
        <f t="shared" si="18"/>
        <v>684000</v>
      </c>
      <c r="M131" s="46">
        <f t="shared" si="18"/>
        <v>0</v>
      </c>
    </row>
    <row r="132" spans="1:13" ht="26.25" customHeight="1">
      <c r="A132" s="45"/>
      <c r="B132" s="4" t="s">
        <v>185</v>
      </c>
      <c r="C132" s="40" t="s">
        <v>85</v>
      </c>
      <c r="D132" s="41" t="s">
        <v>96</v>
      </c>
      <c r="E132" s="41" t="s">
        <v>126</v>
      </c>
      <c r="F132" s="41" t="s">
        <v>108</v>
      </c>
      <c r="G132" s="41" t="s">
        <v>183</v>
      </c>
      <c r="H132" s="153"/>
      <c r="I132" s="140">
        <f>SUM(J132:M132)</f>
        <v>684000</v>
      </c>
      <c r="J132" s="46">
        <v>0</v>
      </c>
      <c r="K132" s="46">
        <v>0</v>
      </c>
      <c r="L132" s="46">
        <f>1000000-316000</f>
        <v>684000</v>
      </c>
      <c r="M132" s="46">
        <v>0</v>
      </c>
    </row>
    <row r="133" spans="1:13" ht="27.75" customHeight="1">
      <c r="A133" s="45"/>
      <c r="B133" s="39" t="s">
        <v>131</v>
      </c>
      <c r="C133" s="40" t="s">
        <v>85</v>
      </c>
      <c r="D133" s="41" t="s">
        <v>96</v>
      </c>
      <c r="E133" s="41" t="s">
        <v>132</v>
      </c>
      <c r="F133" s="41"/>
      <c r="G133" s="41"/>
      <c r="H133" s="153"/>
      <c r="I133" s="140">
        <f>I134</f>
        <v>781415</v>
      </c>
      <c r="J133" s="54">
        <f>J134</f>
        <v>0</v>
      </c>
      <c r="K133" s="54">
        <f>K134</f>
        <v>0</v>
      </c>
      <c r="L133" s="54">
        <f>L134</f>
        <v>781415</v>
      </c>
      <c r="M133" s="54">
        <f>M134+M137</f>
        <v>0</v>
      </c>
    </row>
    <row r="134" spans="1:13" ht="30">
      <c r="A134" s="45"/>
      <c r="B134" s="39" t="s">
        <v>38</v>
      </c>
      <c r="C134" s="40" t="s">
        <v>85</v>
      </c>
      <c r="D134" s="41" t="s">
        <v>96</v>
      </c>
      <c r="E134" s="41" t="s">
        <v>132</v>
      </c>
      <c r="F134" s="41" t="s">
        <v>108</v>
      </c>
      <c r="G134" s="41"/>
      <c r="H134" s="153"/>
      <c r="I134" s="140">
        <f>I135</f>
        <v>781415</v>
      </c>
      <c r="J134" s="46">
        <f aca="true" t="shared" si="19" ref="J134:M137">J135</f>
        <v>0</v>
      </c>
      <c r="K134" s="46">
        <f t="shared" si="19"/>
        <v>0</v>
      </c>
      <c r="L134" s="46">
        <f t="shared" si="19"/>
        <v>781415</v>
      </c>
      <c r="M134" s="46">
        <f t="shared" si="19"/>
        <v>0</v>
      </c>
    </row>
    <row r="135" spans="1:13" ht="27" customHeight="1">
      <c r="A135" s="45"/>
      <c r="B135" s="4" t="s">
        <v>185</v>
      </c>
      <c r="C135" s="40" t="s">
        <v>85</v>
      </c>
      <c r="D135" s="41" t="s">
        <v>96</v>
      </c>
      <c r="E135" s="41" t="s">
        <v>132</v>
      </c>
      <c r="F135" s="41" t="s">
        <v>108</v>
      </c>
      <c r="G135" s="41" t="s">
        <v>183</v>
      </c>
      <c r="H135" s="153"/>
      <c r="I135" s="140">
        <f>SUM(J135:M135)</f>
        <v>781415</v>
      </c>
      <c r="J135" s="46">
        <v>0</v>
      </c>
      <c r="K135" s="46">
        <v>0</v>
      </c>
      <c r="L135" s="46">
        <f>1000000-218585</f>
        <v>781415</v>
      </c>
      <c r="M135" s="46">
        <v>0</v>
      </c>
    </row>
    <row r="136" spans="1:13" ht="27" customHeight="1">
      <c r="A136" s="45"/>
      <c r="B136" s="39" t="s">
        <v>223</v>
      </c>
      <c r="C136" s="40" t="s">
        <v>85</v>
      </c>
      <c r="D136" s="41" t="s">
        <v>96</v>
      </c>
      <c r="E136" s="41" t="s">
        <v>132</v>
      </c>
      <c r="F136" s="41"/>
      <c r="G136" s="41"/>
      <c r="H136" s="153"/>
      <c r="I136" s="140">
        <f>I137</f>
        <v>513250</v>
      </c>
      <c r="J136" s="46">
        <f t="shared" si="19"/>
        <v>0</v>
      </c>
      <c r="K136" s="46">
        <f t="shared" si="19"/>
        <v>0</v>
      </c>
      <c r="L136" s="46">
        <f t="shared" si="19"/>
        <v>513250</v>
      </c>
      <c r="M136" s="46">
        <f t="shared" si="19"/>
        <v>0</v>
      </c>
    </row>
    <row r="137" spans="1:13" ht="21.75" customHeight="1">
      <c r="A137" s="45"/>
      <c r="B137" s="39" t="s">
        <v>38</v>
      </c>
      <c r="C137" s="40" t="s">
        <v>85</v>
      </c>
      <c r="D137" s="41" t="s">
        <v>96</v>
      </c>
      <c r="E137" s="41" t="s">
        <v>132</v>
      </c>
      <c r="F137" s="41" t="s">
        <v>108</v>
      </c>
      <c r="G137" s="41"/>
      <c r="H137" s="153"/>
      <c r="I137" s="140">
        <f>I138</f>
        <v>513250</v>
      </c>
      <c r="J137" s="46">
        <f t="shared" si="19"/>
        <v>0</v>
      </c>
      <c r="K137" s="46">
        <f t="shared" si="19"/>
        <v>0</v>
      </c>
      <c r="L137" s="46">
        <f t="shared" si="19"/>
        <v>513250</v>
      </c>
      <c r="M137" s="46">
        <f t="shared" si="19"/>
        <v>0</v>
      </c>
    </row>
    <row r="138" spans="1:13" ht="27" customHeight="1">
      <c r="A138" s="45"/>
      <c r="B138" s="4" t="s">
        <v>185</v>
      </c>
      <c r="C138" s="40" t="s">
        <v>85</v>
      </c>
      <c r="D138" s="41" t="s">
        <v>96</v>
      </c>
      <c r="E138" s="41" t="s">
        <v>132</v>
      </c>
      <c r="F138" s="41" t="s">
        <v>108</v>
      </c>
      <c r="G138" s="41" t="s">
        <v>183</v>
      </c>
      <c r="H138" s="153"/>
      <c r="I138" s="140">
        <f>SUM(J138:M138)</f>
        <v>513250</v>
      </c>
      <c r="J138" s="46">
        <v>0</v>
      </c>
      <c r="K138" s="46">
        <v>0</v>
      </c>
      <c r="L138" s="46">
        <v>513250</v>
      </c>
      <c r="M138" s="46">
        <v>0</v>
      </c>
    </row>
    <row r="139" spans="1:13" ht="24" customHeight="1">
      <c r="A139" s="45"/>
      <c r="B139" s="136" t="s">
        <v>129</v>
      </c>
      <c r="C139" s="40" t="s">
        <v>85</v>
      </c>
      <c r="D139" s="41" t="s">
        <v>96</v>
      </c>
      <c r="E139" s="41" t="s">
        <v>130</v>
      </c>
      <c r="F139" s="41"/>
      <c r="G139" s="41"/>
      <c r="H139" s="153"/>
      <c r="I139" s="140">
        <f>I140</f>
        <v>300000</v>
      </c>
      <c r="J139" s="46">
        <f aca="true" t="shared" si="20" ref="J139:M140">J140</f>
        <v>75000</v>
      </c>
      <c r="K139" s="46">
        <f t="shared" si="20"/>
        <v>75000</v>
      </c>
      <c r="L139" s="46">
        <f t="shared" si="20"/>
        <v>75000</v>
      </c>
      <c r="M139" s="46">
        <f t="shared" si="20"/>
        <v>75000</v>
      </c>
    </row>
    <row r="140" spans="1:13" ht="30">
      <c r="A140" s="45"/>
      <c r="B140" s="39" t="s">
        <v>14</v>
      </c>
      <c r="C140" s="40" t="s">
        <v>85</v>
      </c>
      <c r="D140" s="41" t="s">
        <v>96</v>
      </c>
      <c r="E140" s="41" t="s">
        <v>130</v>
      </c>
      <c r="F140" s="41" t="s">
        <v>110</v>
      </c>
      <c r="G140" s="41"/>
      <c r="H140" s="153"/>
      <c r="I140" s="140">
        <f>I141</f>
        <v>300000</v>
      </c>
      <c r="J140" s="46">
        <f t="shared" si="20"/>
        <v>75000</v>
      </c>
      <c r="K140" s="46">
        <f t="shared" si="20"/>
        <v>75000</v>
      </c>
      <c r="L140" s="46">
        <f t="shared" si="20"/>
        <v>75000</v>
      </c>
      <c r="M140" s="46">
        <f t="shared" si="20"/>
        <v>75000</v>
      </c>
    </row>
    <row r="141" spans="1:13" ht="30">
      <c r="A141" s="45"/>
      <c r="B141" s="39" t="s">
        <v>159</v>
      </c>
      <c r="C141" s="40" t="s">
        <v>85</v>
      </c>
      <c r="D141" s="41" t="s">
        <v>96</v>
      </c>
      <c r="E141" s="41" t="s">
        <v>130</v>
      </c>
      <c r="F141" s="41" t="s">
        <v>110</v>
      </c>
      <c r="G141" s="41" t="s">
        <v>173</v>
      </c>
      <c r="H141" s="153"/>
      <c r="I141" s="140">
        <f>SUM(J141:M141)</f>
        <v>300000</v>
      </c>
      <c r="J141" s="46">
        <v>75000</v>
      </c>
      <c r="K141" s="46">
        <v>75000</v>
      </c>
      <c r="L141" s="46">
        <v>75000</v>
      </c>
      <c r="M141" s="46">
        <v>75000</v>
      </c>
    </row>
    <row r="142" spans="1:13" ht="30">
      <c r="A142" s="45"/>
      <c r="B142" s="39" t="s">
        <v>125</v>
      </c>
      <c r="C142" s="40" t="s">
        <v>85</v>
      </c>
      <c r="D142" s="41" t="s">
        <v>96</v>
      </c>
      <c r="E142" s="41" t="s">
        <v>124</v>
      </c>
      <c r="F142" s="41"/>
      <c r="G142" s="41"/>
      <c r="H142" s="153"/>
      <c r="I142" s="140">
        <f>I143</f>
        <v>6693640</v>
      </c>
      <c r="J142" s="46">
        <f aca="true" t="shared" si="21" ref="J142:M143">J143</f>
        <v>0</v>
      </c>
      <c r="K142" s="46">
        <f t="shared" si="21"/>
        <v>0</v>
      </c>
      <c r="L142" s="46">
        <f t="shared" si="21"/>
        <v>6693640</v>
      </c>
      <c r="M142" s="46">
        <f t="shared" si="21"/>
        <v>0</v>
      </c>
    </row>
    <row r="143" spans="1:13" ht="30">
      <c r="A143" s="45"/>
      <c r="B143" s="39" t="s">
        <v>45</v>
      </c>
      <c r="C143" s="40" t="s">
        <v>85</v>
      </c>
      <c r="D143" s="41" t="s">
        <v>96</v>
      </c>
      <c r="E143" s="41" t="s">
        <v>124</v>
      </c>
      <c r="F143" s="41" t="s">
        <v>109</v>
      </c>
      <c r="G143" s="41"/>
      <c r="H143" s="153"/>
      <c r="I143" s="140">
        <f>I144</f>
        <v>6693640</v>
      </c>
      <c r="J143" s="46">
        <f t="shared" si="21"/>
        <v>0</v>
      </c>
      <c r="K143" s="46">
        <f t="shared" si="21"/>
        <v>0</v>
      </c>
      <c r="L143" s="46">
        <f t="shared" si="21"/>
        <v>6693640</v>
      </c>
      <c r="M143" s="46">
        <f t="shared" si="21"/>
        <v>0</v>
      </c>
    </row>
    <row r="144" spans="1:13" ht="30">
      <c r="A144" s="45"/>
      <c r="B144" s="39" t="s">
        <v>161</v>
      </c>
      <c r="C144" s="40" t="s">
        <v>85</v>
      </c>
      <c r="D144" s="41" t="s">
        <v>96</v>
      </c>
      <c r="E144" s="41" t="s">
        <v>124</v>
      </c>
      <c r="F144" s="41" t="s">
        <v>109</v>
      </c>
      <c r="G144" s="41" t="s">
        <v>176</v>
      </c>
      <c r="H144" s="153"/>
      <c r="I144" s="140">
        <f>SUM(J144:M144)</f>
        <v>6693640</v>
      </c>
      <c r="J144" s="46">
        <v>0</v>
      </c>
      <c r="K144" s="46">
        <v>0</v>
      </c>
      <c r="L144" s="46">
        <f>10500000-3000000-806360</f>
        <v>6693640</v>
      </c>
      <c r="M144" s="46">
        <v>0</v>
      </c>
    </row>
    <row r="145" spans="1:13" ht="45">
      <c r="A145" s="45"/>
      <c r="B145" s="39" t="s">
        <v>224</v>
      </c>
      <c r="C145" s="40" t="s">
        <v>85</v>
      </c>
      <c r="D145" s="41" t="s">
        <v>97</v>
      </c>
      <c r="E145" s="41" t="s">
        <v>124</v>
      </c>
      <c r="F145" s="41" t="s">
        <v>109</v>
      </c>
      <c r="G145" s="41"/>
      <c r="H145" s="153"/>
      <c r="I145" s="140">
        <f>SUM(J145:M145)</f>
        <v>2500000</v>
      </c>
      <c r="J145" s="46">
        <f>J146</f>
        <v>0</v>
      </c>
      <c r="K145" s="46">
        <f>K146</f>
        <v>750000</v>
      </c>
      <c r="L145" s="46">
        <f>L146</f>
        <v>1750000</v>
      </c>
      <c r="M145" s="46">
        <f>M146</f>
        <v>0</v>
      </c>
    </row>
    <row r="146" spans="1:13" ht="30">
      <c r="A146" s="45"/>
      <c r="B146" s="39" t="s">
        <v>161</v>
      </c>
      <c r="C146" s="40" t="s">
        <v>85</v>
      </c>
      <c r="D146" s="41" t="s">
        <v>97</v>
      </c>
      <c r="E146" s="41" t="s">
        <v>124</v>
      </c>
      <c r="F146" s="41" t="s">
        <v>109</v>
      </c>
      <c r="G146" s="41" t="s">
        <v>176</v>
      </c>
      <c r="H146" s="153"/>
      <c r="I146" s="140">
        <f>SUM(J146:M146)</f>
        <v>2500000</v>
      </c>
      <c r="J146" s="46">
        <v>0</v>
      </c>
      <c r="K146" s="46">
        <v>750000</v>
      </c>
      <c r="L146" s="46">
        <v>1750000</v>
      </c>
      <c r="M146" s="46">
        <v>0</v>
      </c>
    </row>
    <row r="147" spans="1:13" ht="45">
      <c r="A147" s="45"/>
      <c r="B147" s="39" t="s">
        <v>227</v>
      </c>
      <c r="C147" s="40" t="s">
        <v>85</v>
      </c>
      <c r="D147" s="41" t="s">
        <v>97</v>
      </c>
      <c r="E147" s="41" t="s">
        <v>124</v>
      </c>
      <c r="F147" s="41" t="s">
        <v>109</v>
      </c>
      <c r="G147" s="41"/>
      <c r="H147" s="153"/>
      <c r="I147" s="140">
        <f>SUM(J147:M147)</f>
        <v>701050</v>
      </c>
      <c r="J147" s="46">
        <f>J148</f>
        <v>0</v>
      </c>
      <c r="K147" s="46">
        <f>K148</f>
        <v>701050</v>
      </c>
      <c r="L147" s="46">
        <f>L148</f>
        <v>0</v>
      </c>
      <c r="M147" s="46">
        <f>M148</f>
        <v>0</v>
      </c>
    </row>
    <row r="148" spans="1:13" ht="30">
      <c r="A148" s="45"/>
      <c r="B148" s="39" t="s">
        <v>161</v>
      </c>
      <c r="C148" s="40" t="s">
        <v>85</v>
      </c>
      <c r="D148" s="41" t="s">
        <v>97</v>
      </c>
      <c r="E148" s="41" t="s">
        <v>124</v>
      </c>
      <c r="F148" s="41" t="s">
        <v>109</v>
      </c>
      <c r="G148" s="41" t="s">
        <v>176</v>
      </c>
      <c r="H148" s="153"/>
      <c r="I148" s="140">
        <f>SUM(J148:M148)</f>
        <v>701050</v>
      </c>
      <c r="J148" s="46">
        <v>0</v>
      </c>
      <c r="K148" s="46">
        <v>701050</v>
      </c>
      <c r="L148" s="46">
        <v>0</v>
      </c>
      <c r="M148" s="46">
        <v>0</v>
      </c>
    </row>
    <row r="149" spans="1:13" ht="30">
      <c r="A149" s="45"/>
      <c r="B149" s="39" t="s">
        <v>46</v>
      </c>
      <c r="C149" s="40" t="s">
        <v>85</v>
      </c>
      <c r="D149" s="41" t="s">
        <v>97</v>
      </c>
      <c r="E149" s="41"/>
      <c r="F149" s="41"/>
      <c r="G149" s="41"/>
      <c r="H149" s="153"/>
      <c r="I149" s="140">
        <f>I150+I148+I146</f>
        <v>12131150</v>
      </c>
      <c r="J149" s="54">
        <f>J150+J148+J146</f>
        <v>25000</v>
      </c>
      <c r="K149" s="54">
        <f>K150+K148+K146</f>
        <v>1676050</v>
      </c>
      <c r="L149" s="54">
        <f>L150+L148+L146</f>
        <v>7625000</v>
      </c>
      <c r="M149" s="54">
        <f>M150+M148+M146</f>
        <v>2805100</v>
      </c>
    </row>
    <row r="150" spans="1:13" ht="30">
      <c r="A150" s="45"/>
      <c r="B150" s="39" t="s">
        <v>47</v>
      </c>
      <c r="C150" s="40" t="s">
        <v>85</v>
      </c>
      <c r="D150" s="41" t="s">
        <v>97</v>
      </c>
      <c r="E150" s="41">
        <v>3510000</v>
      </c>
      <c r="F150" s="41"/>
      <c r="G150" s="41"/>
      <c r="H150" s="153"/>
      <c r="I150" s="140">
        <f>I152+I158+I161+I155</f>
        <v>8930100</v>
      </c>
      <c r="J150" s="54">
        <f>J152+J158+J161+J155</f>
        <v>25000</v>
      </c>
      <c r="K150" s="54">
        <f>K152+K158+K161+K155</f>
        <v>225000</v>
      </c>
      <c r="L150" s="54">
        <f>L152+L158+L161+L155</f>
        <v>5875000</v>
      </c>
      <c r="M150" s="54">
        <f>M152+M158+M161+M155</f>
        <v>2805100</v>
      </c>
    </row>
    <row r="151" spans="1:13" ht="36" customHeight="1">
      <c r="A151" s="45"/>
      <c r="B151" s="136" t="s">
        <v>140</v>
      </c>
      <c r="C151" s="40" t="s">
        <v>85</v>
      </c>
      <c r="D151" s="41" t="s">
        <v>97</v>
      </c>
      <c r="E151" s="41" t="s">
        <v>128</v>
      </c>
      <c r="F151" s="41"/>
      <c r="G151" s="41"/>
      <c r="H151" s="153"/>
      <c r="I151" s="140">
        <f>I152</f>
        <v>100000</v>
      </c>
      <c r="J151" s="46">
        <f aca="true" t="shared" si="22" ref="J151:M152">J152</f>
        <v>25000</v>
      </c>
      <c r="K151" s="46">
        <f t="shared" si="22"/>
        <v>25000</v>
      </c>
      <c r="L151" s="46">
        <f t="shared" si="22"/>
        <v>25000</v>
      </c>
      <c r="M151" s="46">
        <f t="shared" si="22"/>
        <v>25000</v>
      </c>
    </row>
    <row r="152" spans="1:13" ht="30">
      <c r="A152" s="45"/>
      <c r="B152" s="39" t="s">
        <v>38</v>
      </c>
      <c r="C152" s="40" t="s">
        <v>85</v>
      </c>
      <c r="D152" s="41" t="s">
        <v>97</v>
      </c>
      <c r="E152" s="41" t="s">
        <v>128</v>
      </c>
      <c r="F152" s="41" t="s">
        <v>108</v>
      </c>
      <c r="G152" s="41"/>
      <c r="H152" s="153"/>
      <c r="I152" s="140">
        <f>I153</f>
        <v>100000</v>
      </c>
      <c r="J152" s="46">
        <f t="shared" si="22"/>
        <v>25000</v>
      </c>
      <c r="K152" s="46">
        <f t="shared" si="22"/>
        <v>25000</v>
      </c>
      <c r="L152" s="46">
        <f t="shared" si="22"/>
        <v>25000</v>
      </c>
      <c r="M152" s="46">
        <f t="shared" si="22"/>
        <v>25000</v>
      </c>
    </row>
    <row r="153" spans="1:13" ht="27" customHeight="1">
      <c r="A153" s="45"/>
      <c r="B153" s="39" t="s">
        <v>185</v>
      </c>
      <c r="C153" s="40" t="s">
        <v>85</v>
      </c>
      <c r="D153" s="41" t="s">
        <v>97</v>
      </c>
      <c r="E153" s="41" t="s">
        <v>128</v>
      </c>
      <c r="F153" s="41" t="s">
        <v>108</v>
      </c>
      <c r="G153" s="41" t="s">
        <v>183</v>
      </c>
      <c r="H153" s="153"/>
      <c r="I153" s="140">
        <f>SUM(J153:M153)</f>
        <v>100000</v>
      </c>
      <c r="J153" s="46">
        <v>25000</v>
      </c>
      <c r="K153" s="46">
        <v>25000</v>
      </c>
      <c r="L153" s="46">
        <v>25000</v>
      </c>
      <c r="M153" s="46">
        <v>25000</v>
      </c>
    </row>
    <row r="154" spans="1:13" ht="17.25" customHeight="1">
      <c r="A154" s="45"/>
      <c r="B154" s="39" t="s">
        <v>186</v>
      </c>
      <c r="C154" s="40" t="s">
        <v>85</v>
      </c>
      <c r="D154" s="41" t="s">
        <v>97</v>
      </c>
      <c r="E154" s="41" t="s">
        <v>141</v>
      </c>
      <c r="F154" s="41"/>
      <c r="G154" s="41"/>
      <c r="H154" s="153"/>
      <c r="I154" s="140">
        <f>I155</f>
        <v>8130100</v>
      </c>
      <c r="J154" s="46">
        <f aca="true" t="shared" si="23" ref="J154:M155">J155</f>
        <v>0</v>
      </c>
      <c r="K154" s="46">
        <f t="shared" si="23"/>
        <v>0</v>
      </c>
      <c r="L154" s="46">
        <f t="shared" si="23"/>
        <v>5650000</v>
      </c>
      <c r="M154" s="46">
        <f t="shared" si="23"/>
        <v>2480100</v>
      </c>
    </row>
    <row r="155" spans="1:13" ht="21" customHeight="1">
      <c r="A155" s="45"/>
      <c r="B155" s="39" t="s">
        <v>38</v>
      </c>
      <c r="C155" s="40" t="s">
        <v>85</v>
      </c>
      <c r="D155" s="41" t="s">
        <v>97</v>
      </c>
      <c r="E155" s="41" t="s">
        <v>141</v>
      </c>
      <c r="F155" s="41" t="s">
        <v>108</v>
      </c>
      <c r="G155" s="41"/>
      <c r="H155" s="153"/>
      <c r="I155" s="140">
        <f>I156</f>
        <v>8130100</v>
      </c>
      <c r="J155" s="46">
        <f t="shared" si="23"/>
        <v>0</v>
      </c>
      <c r="K155" s="46">
        <f t="shared" si="23"/>
        <v>0</v>
      </c>
      <c r="L155" s="46">
        <f t="shared" si="23"/>
        <v>5650000</v>
      </c>
      <c r="M155" s="46">
        <f t="shared" si="23"/>
        <v>2480100</v>
      </c>
    </row>
    <row r="156" spans="1:13" ht="25.5" customHeight="1">
      <c r="A156" s="45"/>
      <c r="B156" s="39" t="s">
        <v>184</v>
      </c>
      <c r="C156" s="40" t="s">
        <v>85</v>
      </c>
      <c r="D156" s="41" t="s">
        <v>97</v>
      </c>
      <c r="E156" s="41" t="s">
        <v>141</v>
      </c>
      <c r="F156" s="41" t="s">
        <v>108</v>
      </c>
      <c r="G156" s="41" t="s">
        <v>182</v>
      </c>
      <c r="H156" s="153"/>
      <c r="I156" s="140">
        <f>SUM(J156:M156)</f>
        <v>8130100</v>
      </c>
      <c r="J156" s="46">
        <v>0</v>
      </c>
      <c r="K156" s="46">
        <v>0</v>
      </c>
      <c r="L156" s="46">
        <f>6000000-350000</f>
        <v>5650000</v>
      </c>
      <c r="M156" s="46">
        <v>2480100</v>
      </c>
    </row>
    <row r="157" spans="1:13" ht="35.25" customHeight="1">
      <c r="A157" s="45"/>
      <c r="B157" s="136" t="s">
        <v>48</v>
      </c>
      <c r="C157" s="40" t="s">
        <v>85</v>
      </c>
      <c r="D157" s="41" t="s">
        <v>97</v>
      </c>
      <c r="E157" s="41">
        <v>3510500</v>
      </c>
      <c r="F157" s="41"/>
      <c r="G157" s="41"/>
      <c r="H157" s="153"/>
      <c r="I157" s="140">
        <f>I158</f>
        <v>700000</v>
      </c>
      <c r="J157" s="46">
        <f aca="true" t="shared" si="24" ref="J157:M158">J158</f>
        <v>0</v>
      </c>
      <c r="K157" s="46">
        <f t="shared" si="24"/>
        <v>200000</v>
      </c>
      <c r="L157" s="46">
        <f t="shared" si="24"/>
        <v>200000</v>
      </c>
      <c r="M157" s="46">
        <f t="shared" si="24"/>
        <v>300000</v>
      </c>
    </row>
    <row r="158" spans="1:13" ht="30">
      <c r="A158" s="45"/>
      <c r="B158" s="39" t="s">
        <v>38</v>
      </c>
      <c r="C158" s="40" t="s">
        <v>85</v>
      </c>
      <c r="D158" s="41" t="s">
        <v>97</v>
      </c>
      <c r="E158" s="41">
        <v>3510500</v>
      </c>
      <c r="F158" s="41" t="s">
        <v>108</v>
      </c>
      <c r="G158" s="41"/>
      <c r="H158" s="153"/>
      <c r="I158" s="140">
        <f>I159</f>
        <v>700000</v>
      </c>
      <c r="J158" s="46">
        <f t="shared" si="24"/>
        <v>0</v>
      </c>
      <c r="K158" s="46">
        <f t="shared" si="24"/>
        <v>200000</v>
      </c>
      <c r="L158" s="46">
        <f t="shared" si="24"/>
        <v>200000</v>
      </c>
      <c r="M158" s="46">
        <f t="shared" si="24"/>
        <v>300000</v>
      </c>
    </row>
    <row r="159" spans="1:13" ht="30">
      <c r="A159" s="45"/>
      <c r="B159" s="39" t="s">
        <v>184</v>
      </c>
      <c r="C159" s="40" t="s">
        <v>85</v>
      </c>
      <c r="D159" s="41" t="s">
        <v>97</v>
      </c>
      <c r="E159" s="41">
        <v>3510500</v>
      </c>
      <c r="F159" s="41" t="s">
        <v>108</v>
      </c>
      <c r="G159" s="41" t="s">
        <v>182</v>
      </c>
      <c r="H159" s="153"/>
      <c r="I159" s="140">
        <f>SUM(J159:M159)</f>
        <v>700000</v>
      </c>
      <c r="J159" s="46">
        <v>0</v>
      </c>
      <c r="K159" s="46">
        <f>350000-150000</f>
        <v>200000</v>
      </c>
      <c r="L159" s="46">
        <f>350000-150000</f>
        <v>200000</v>
      </c>
      <c r="M159" s="46">
        <f>700000-400000</f>
        <v>300000</v>
      </c>
    </row>
    <row r="160" spans="1:13" ht="30">
      <c r="A160" s="45"/>
      <c r="B160" s="39" t="s">
        <v>186</v>
      </c>
      <c r="C160" s="40" t="s">
        <v>85</v>
      </c>
      <c r="D160" s="41" t="s">
        <v>97</v>
      </c>
      <c r="E160" s="41" t="s">
        <v>141</v>
      </c>
      <c r="F160" s="41"/>
      <c r="G160" s="41"/>
      <c r="H160" s="153"/>
      <c r="I160" s="140">
        <f>I161</f>
        <v>0</v>
      </c>
      <c r="J160" s="46">
        <f aca="true" t="shared" si="25" ref="J160:M161">J161</f>
        <v>0</v>
      </c>
      <c r="K160" s="46">
        <f t="shared" si="25"/>
        <v>0</v>
      </c>
      <c r="L160" s="46">
        <f t="shared" si="25"/>
        <v>0</v>
      </c>
      <c r="M160" s="46">
        <f t="shared" si="25"/>
        <v>0</v>
      </c>
    </row>
    <row r="161" spans="1:13" ht="30">
      <c r="A161" s="45"/>
      <c r="B161" s="39" t="s">
        <v>38</v>
      </c>
      <c r="C161" s="40" t="s">
        <v>85</v>
      </c>
      <c r="D161" s="41" t="s">
        <v>97</v>
      </c>
      <c r="E161" s="41" t="s">
        <v>141</v>
      </c>
      <c r="F161" s="41" t="s">
        <v>108</v>
      </c>
      <c r="G161" s="41"/>
      <c r="H161" s="153"/>
      <c r="I161" s="140">
        <f>I162</f>
        <v>0</v>
      </c>
      <c r="J161" s="46">
        <f t="shared" si="25"/>
        <v>0</v>
      </c>
      <c r="K161" s="46">
        <f t="shared" si="25"/>
        <v>0</v>
      </c>
      <c r="L161" s="46">
        <f t="shared" si="25"/>
        <v>0</v>
      </c>
      <c r="M161" s="46">
        <f t="shared" si="25"/>
        <v>0</v>
      </c>
    </row>
    <row r="162" spans="1:13" ht="30">
      <c r="A162" s="45"/>
      <c r="B162" s="39" t="s">
        <v>184</v>
      </c>
      <c r="C162" s="40" t="s">
        <v>85</v>
      </c>
      <c r="D162" s="41" t="s">
        <v>97</v>
      </c>
      <c r="E162" s="41" t="s">
        <v>141</v>
      </c>
      <c r="F162" s="41" t="s">
        <v>108</v>
      </c>
      <c r="G162" s="41" t="s">
        <v>182</v>
      </c>
      <c r="H162" s="153"/>
      <c r="I162" s="140">
        <f>SUM(J162:M162)</f>
        <v>0</v>
      </c>
      <c r="J162" s="46">
        <v>0</v>
      </c>
      <c r="K162" s="46">
        <v>0</v>
      </c>
      <c r="L162" s="46">
        <f>6000000-6000000</f>
        <v>0</v>
      </c>
      <c r="M162" s="46">
        <f>2480100-2480100</f>
        <v>0</v>
      </c>
    </row>
    <row r="163" spans="1:13" ht="30">
      <c r="A163" s="45"/>
      <c r="B163" s="39" t="s">
        <v>49</v>
      </c>
      <c r="C163" s="40" t="s">
        <v>85</v>
      </c>
      <c r="D163" s="41" t="s">
        <v>98</v>
      </c>
      <c r="E163" s="60"/>
      <c r="F163" s="41"/>
      <c r="G163" s="41"/>
      <c r="H163" s="153"/>
      <c r="I163" s="140">
        <f>I165+I169+I172+I180+I176</f>
        <v>13288882</v>
      </c>
      <c r="J163" s="54">
        <f>J165+J169+J172+J180+J176</f>
        <v>2660460.93</v>
      </c>
      <c r="K163" s="54">
        <f>K165+K169+K172+K180+K176</f>
        <v>6456226.67</v>
      </c>
      <c r="L163" s="54">
        <f>L165+L169+L172+L180+L176</f>
        <v>2464694.4</v>
      </c>
      <c r="M163" s="54">
        <f>M165+M169+M172+M180+M176</f>
        <v>1707500</v>
      </c>
    </row>
    <row r="164" spans="1:13" ht="30">
      <c r="A164" s="45"/>
      <c r="B164" s="39" t="s">
        <v>50</v>
      </c>
      <c r="C164" s="40" t="s">
        <v>85</v>
      </c>
      <c r="D164" s="41" t="s">
        <v>98</v>
      </c>
      <c r="E164" s="41">
        <v>6000100</v>
      </c>
      <c r="F164" s="41"/>
      <c r="G164" s="41"/>
      <c r="H164" s="153"/>
      <c r="I164" s="140">
        <f>I165</f>
        <v>1700000</v>
      </c>
      <c r="J164" s="46">
        <f>J165</f>
        <v>425000</v>
      </c>
      <c r="K164" s="46">
        <f>K165</f>
        <v>425000</v>
      </c>
      <c r="L164" s="46">
        <f>L165</f>
        <v>425000</v>
      </c>
      <c r="M164" s="46">
        <f>M165</f>
        <v>425000</v>
      </c>
    </row>
    <row r="165" spans="1:13" ht="30">
      <c r="A165" s="45"/>
      <c r="B165" s="39" t="s">
        <v>14</v>
      </c>
      <c r="C165" s="40" t="s">
        <v>85</v>
      </c>
      <c r="D165" s="41" t="s">
        <v>98</v>
      </c>
      <c r="E165" s="41">
        <v>6000100</v>
      </c>
      <c r="F165" s="41">
        <v>500</v>
      </c>
      <c r="G165" s="41"/>
      <c r="H165" s="153"/>
      <c r="I165" s="140">
        <f>I166+I167</f>
        <v>1700000</v>
      </c>
      <c r="J165" s="46">
        <f>J166+J167</f>
        <v>425000</v>
      </c>
      <c r="K165" s="46">
        <f>K166+K167</f>
        <v>425000</v>
      </c>
      <c r="L165" s="46">
        <f>L166+L167</f>
        <v>425000</v>
      </c>
      <c r="M165" s="46">
        <f>M166+M167</f>
        <v>425000</v>
      </c>
    </row>
    <row r="166" spans="1:13" ht="30">
      <c r="A166" s="45"/>
      <c r="B166" s="39" t="s">
        <v>169</v>
      </c>
      <c r="C166" s="40" t="s">
        <v>85</v>
      </c>
      <c r="D166" s="41" t="s">
        <v>98</v>
      </c>
      <c r="E166" s="41">
        <v>6000100</v>
      </c>
      <c r="F166" s="41">
        <v>500</v>
      </c>
      <c r="G166" s="41" t="s">
        <v>172</v>
      </c>
      <c r="H166" s="153"/>
      <c r="I166" s="140">
        <v>700000</v>
      </c>
      <c r="J166" s="46">
        <v>175000</v>
      </c>
      <c r="K166" s="46">
        <v>175000</v>
      </c>
      <c r="L166" s="46">
        <v>175000</v>
      </c>
      <c r="M166" s="46">
        <v>175000</v>
      </c>
    </row>
    <row r="167" spans="1:13" ht="30">
      <c r="A167" s="45"/>
      <c r="B167" s="39" t="s">
        <v>159</v>
      </c>
      <c r="C167" s="40" t="s">
        <v>85</v>
      </c>
      <c r="D167" s="41" t="s">
        <v>98</v>
      </c>
      <c r="E167" s="41">
        <v>6000100</v>
      </c>
      <c r="F167" s="41">
        <v>500</v>
      </c>
      <c r="G167" s="41" t="s">
        <v>173</v>
      </c>
      <c r="H167" s="153"/>
      <c r="I167" s="140">
        <f>SUM(J167:M167)</f>
        <v>1000000</v>
      </c>
      <c r="J167" s="46">
        <v>250000</v>
      </c>
      <c r="K167" s="46">
        <v>250000</v>
      </c>
      <c r="L167" s="46">
        <v>250000</v>
      </c>
      <c r="M167" s="46">
        <v>250000</v>
      </c>
    </row>
    <row r="168" spans="1:13" ht="34.5" customHeight="1">
      <c r="A168" s="45"/>
      <c r="B168" s="136" t="s">
        <v>51</v>
      </c>
      <c r="C168" s="40" t="s">
        <v>85</v>
      </c>
      <c r="D168" s="41" t="s">
        <v>98</v>
      </c>
      <c r="E168" s="41">
        <v>6000200</v>
      </c>
      <c r="F168" s="41"/>
      <c r="G168" s="41"/>
      <c r="H168" s="153"/>
      <c r="I168" s="140">
        <f>I169</f>
        <v>927705</v>
      </c>
      <c r="J168" s="46">
        <f aca="true" t="shared" si="26" ref="J168:M169">J169</f>
        <v>177900.6</v>
      </c>
      <c r="K168" s="46">
        <f t="shared" si="26"/>
        <v>318585</v>
      </c>
      <c r="L168" s="46">
        <f t="shared" si="26"/>
        <v>306219.4</v>
      </c>
      <c r="M168" s="46">
        <f t="shared" si="26"/>
        <v>125000</v>
      </c>
    </row>
    <row r="169" spans="1:13" ht="30">
      <c r="A169" s="45"/>
      <c r="B169" s="39" t="s">
        <v>14</v>
      </c>
      <c r="C169" s="40" t="s">
        <v>85</v>
      </c>
      <c r="D169" s="41" t="s">
        <v>98</v>
      </c>
      <c r="E169" s="41">
        <v>6000200</v>
      </c>
      <c r="F169" s="41">
        <v>500</v>
      </c>
      <c r="G169" s="41"/>
      <c r="H169" s="153"/>
      <c r="I169" s="140">
        <f>I170</f>
        <v>927705</v>
      </c>
      <c r="J169" s="46">
        <f t="shared" si="26"/>
        <v>177900.6</v>
      </c>
      <c r="K169" s="46">
        <f t="shared" si="26"/>
        <v>318585</v>
      </c>
      <c r="L169" s="46">
        <f t="shared" si="26"/>
        <v>306219.4</v>
      </c>
      <c r="M169" s="46">
        <f t="shared" si="26"/>
        <v>125000</v>
      </c>
    </row>
    <row r="170" spans="1:13" ht="30">
      <c r="A170" s="45"/>
      <c r="B170" s="39" t="s">
        <v>159</v>
      </c>
      <c r="C170" s="40" t="s">
        <v>85</v>
      </c>
      <c r="D170" s="41" t="s">
        <v>98</v>
      </c>
      <c r="E170" s="41">
        <v>6000200</v>
      </c>
      <c r="F170" s="41">
        <v>500</v>
      </c>
      <c r="G170" s="41" t="s">
        <v>173</v>
      </c>
      <c r="H170" s="153"/>
      <c r="I170" s="140">
        <f>SUM(J170:M170)</f>
        <v>927705</v>
      </c>
      <c r="J170" s="46">
        <f>75000+102900.6</f>
        <v>177900.6</v>
      </c>
      <c r="K170" s="46">
        <f>100000+218585</f>
        <v>318585</v>
      </c>
      <c r="L170" s="46">
        <f>380000-102900.6+29120</f>
        <v>306219.4</v>
      </c>
      <c r="M170" s="46">
        <v>125000</v>
      </c>
    </row>
    <row r="171" spans="1:13" ht="14.25" customHeight="1">
      <c r="A171" s="45"/>
      <c r="B171" s="39" t="s">
        <v>52</v>
      </c>
      <c r="C171" s="40" t="s">
        <v>85</v>
      </c>
      <c r="D171" s="41" t="s">
        <v>98</v>
      </c>
      <c r="E171" s="41">
        <v>6000300</v>
      </c>
      <c r="F171" s="41"/>
      <c r="G171" s="41"/>
      <c r="H171" s="153"/>
      <c r="I171" s="140">
        <f>I172</f>
        <v>1927000</v>
      </c>
      <c r="J171" s="46">
        <f>J172</f>
        <v>100000</v>
      </c>
      <c r="K171" s="46">
        <f>K172</f>
        <v>602916.6699999999</v>
      </c>
      <c r="L171" s="46">
        <f>L172</f>
        <v>581750</v>
      </c>
      <c r="M171" s="46">
        <f>M172</f>
        <v>642333.33</v>
      </c>
    </row>
    <row r="172" spans="1:13" ht="13.5" customHeight="1">
      <c r="A172" s="45"/>
      <c r="B172" s="39" t="s">
        <v>14</v>
      </c>
      <c r="C172" s="40" t="s">
        <v>85</v>
      </c>
      <c r="D172" s="41" t="s">
        <v>98</v>
      </c>
      <c r="E172" s="41">
        <v>6000300</v>
      </c>
      <c r="F172" s="41">
        <v>500</v>
      </c>
      <c r="G172" s="41"/>
      <c r="H172" s="153"/>
      <c r="I172" s="140">
        <f>I173+I174</f>
        <v>1927000</v>
      </c>
      <c r="J172" s="54">
        <f>J173+J174</f>
        <v>100000</v>
      </c>
      <c r="K172" s="54">
        <f>K173+K174</f>
        <v>602916.6699999999</v>
      </c>
      <c r="L172" s="54">
        <f>L173+L174</f>
        <v>581750</v>
      </c>
      <c r="M172" s="54">
        <f>M173+M174</f>
        <v>642333.33</v>
      </c>
    </row>
    <row r="173" spans="1:13" ht="13.5" customHeight="1">
      <c r="A173" s="45"/>
      <c r="B173" s="39" t="s">
        <v>159</v>
      </c>
      <c r="C173" s="40" t="s">
        <v>85</v>
      </c>
      <c r="D173" s="41" t="s">
        <v>98</v>
      </c>
      <c r="E173" s="41">
        <v>6000300</v>
      </c>
      <c r="F173" s="41">
        <v>500</v>
      </c>
      <c r="G173" s="41" t="s">
        <v>173</v>
      </c>
      <c r="H173" s="153"/>
      <c r="I173" s="140">
        <f>SUM(J173:M173)</f>
        <v>1565000</v>
      </c>
      <c r="J173" s="46">
        <v>0</v>
      </c>
      <c r="K173" s="46">
        <f>481750-100000+121166.67</f>
        <v>502916.67</v>
      </c>
      <c r="L173" s="46">
        <f>481750-100000+100000</f>
        <v>481750</v>
      </c>
      <c r="M173" s="46">
        <f>642333.33-62000</f>
        <v>580333.33</v>
      </c>
    </row>
    <row r="174" spans="1:13" ht="30">
      <c r="A174" s="45"/>
      <c r="B174" s="39" t="s">
        <v>162</v>
      </c>
      <c r="C174" s="40" t="s">
        <v>85</v>
      </c>
      <c r="D174" s="41" t="s">
        <v>98</v>
      </c>
      <c r="E174" s="41">
        <v>6000300</v>
      </c>
      <c r="F174" s="41">
        <v>500</v>
      </c>
      <c r="G174" s="41" t="s">
        <v>177</v>
      </c>
      <c r="H174" s="153"/>
      <c r="I174" s="140">
        <f>SUM(J174:M174)</f>
        <v>362000</v>
      </c>
      <c r="J174" s="46">
        <v>100000</v>
      </c>
      <c r="K174" s="46">
        <v>100000</v>
      </c>
      <c r="L174" s="46">
        <v>100000</v>
      </c>
      <c r="M174" s="46">
        <v>62000</v>
      </c>
    </row>
    <row r="175" spans="1:13" ht="30">
      <c r="A175" s="45"/>
      <c r="B175" s="39" t="s">
        <v>219</v>
      </c>
      <c r="C175" s="40" t="s">
        <v>85</v>
      </c>
      <c r="D175" s="41" t="s">
        <v>98</v>
      </c>
      <c r="E175" s="41" t="s">
        <v>218</v>
      </c>
      <c r="F175" s="41"/>
      <c r="G175" s="41"/>
      <c r="H175" s="153"/>
      <c r="I175" s="140">
        <f>I176</f>
        <v>1555478.29</v>
      </c>
      <c r="J175" s="54">
        <f>J176</f>
        <v>55478.29</v>
      </c>
      <c r="K175" s="54">
        <f>K176</f>
        <v>1500000</v>
      </c>
      <c r="L175" s="54">
        <f>L176</f>
        <v>0</v>
      </c>
      <c r="M175" s="54">
        <f>M176</f>
        <v>0</v>
      </c>
    </row>
    <row r="176" spans="1:13" ht="30">
      <c r="A176" s="45"/>
      <c r="B176" s="39" t="s">
        <v>14</v>
      </c>
      <c r="C176" s="40" t="s">
        <v>85</v>
      </c>
      <c r="D176" s="41" t="s">
        <v>98</v>
      </c>
      <c r="E176" s="41" t="s">
        <v>218</v>
      </c>
      <c r="F176" s="41">
        <v>500</v>
      </c>
      <c r="G176" s="41"/>
      <c r="H176" s="153"/>
      <c r="I176" s="140">
        <f>I178+I177</f>
        <v>1555478.29</v>
      </c>
      <c r="J176" s="54">
        <f>J178+J177</f>
        <v>55478.29</v>
      </c>
      <c r="K176" s="54">
        <f>K178+K177</f>
        <v>1500000</v>
      </c>
      <c r="L176" s="54">
        <f>L178+L177</f>
        <v>0</v>
      </c>
      <c r="M176" s="54">
        <f>M178+M177</f>
        <v>0</v>
      </c>
    </row>
    <row r="177" spans="1:13" ht="30">
      <c r="A177" s="45"/>
      <c r="B177" s="39" t="s">
        <v>159</v>
      </c>
      <c r="C177" s="40" t="s">
        <v>85</v>
      </c>
      <c r="D177" s="41" t="s">
        <v>98</v>
      </c>
      <c r="E177" s="41" t="s">
        <v>218</v>
      </c>
      <c r="F177" s="41">
        <v>500</v>
      </c>
      <c r="G177" s="41" t="s">
        <v>173</v>
      </c>
      <c r="H177" s="153"/>
      <c r="I177" s="140">
        <f>SUM(J177:M177)</f>
        <v>1500000</v>
      </c>
      <c r="J177" s="54">
        <v>0</v>
      </c>
      <c r="K177" s="54">
        <v>1500000</v>
      </c>
      <c r="L177" s="54">
        <v>0</v>
      </c>
      <c r="M177" s="54">
        <v>0</v>
      </c>
    </row>
    <row r="178" spans="1:13" ht="30">
      <c r="A178" s="45"/>
      <c r="B178" s="39" t="s">
        <v>181</v>
      </c>
      <c r="C178" s="40" t="s">
        <v>85</v>
      </c>
      <c r="D178" s="41" t="s">
        <v>98</v>
      </c>
      <c r="E178" s="41" t="s">
        <v>218</v>
      </c>
      <c r="F178" s="41">
        <v>500</v>
      </c>
      <c r="G178" s="41" t="s">
        <v>174</v>
      </c>
      <c r="H178" s="153"/>
      <c r="I178" s="140">
        <f>SUM(J178:M178)</f>
        <v>55478.29</v>
      </c>
      <c r="J178" s="46">
        <f>55478.29</f>
        <v>55478.29</v>
      </c>
      <c r="K178" s="46">
        <v>0</v>
      </c>
      <c r="L178" s="46">
        <v>0</v>
      </c>
      <c r="M178" s="46">
        <v>0</v>
      </c>
    </row>
    <row r="179" spans="1:13" ht="30">
      <c r="A179" s="45"/>
      <c r="B179" s="39" t="s">
        <v>53</v>
      </c>
      <c r="C179" s="40" t="s">
        <v>85</v>
      </c>
      <c r="D179" s="41" t="s">
        <v>98</v>
      </c>
      <c r="E179" s="41">
        <v>6000500</v>
      </c>
      <c r="F179" s="41"/>
      <c r="G179" s="41"/>
      <c r="H179" s="153"/>
      <c r="I179" s="140">
        <f>I180</f>
        <v>7178698.71</v>
      </c>
      <c r="J179" s="46">
        <f>J180</f>
        <v>1902082.04</v>
      </c>
      <c r="K179" s="46">
        <f>K180</f>
        <v>3609725</v>
      </c>
      <c r="L179" s="46">
        <f>L180</f>
        <v>1151725</v>
      </c>
      <c r="M179" s="46">
        <f>M180</f>
        <v>515166.6699999999</v>
      </c>
    </row>
    <row r="180" spans="1:13" ht="30">
      <c r="A180" s="45"/>
      <c r="B180" s="39" t="s">
        <v>14</v>
      </c>
      <c r="C180" s="40" t="s">
        <v>85</v>
      </c>
      <c r="D180" s="41" t="s">
        <v>98</v>
      </c>
      <c r="E180" s="41">
        <v>6000500</v>
      </c>
      <c r="F180" s="41">
        <v>500</v>
      </c>
      <c r="G180" s="41"/>
      <c r="H180" s="153"/>
      <c r="I180" s="140">
        <f>I181+I184+I182+I183</f>
        <v>7178698.71</v>
      </c>
      <c r="J180" s="46">
        <f>J181+J184+J182+J183</f>
        <v>1902082.04</v>
      </c>
      <c r="K180" s="46">
        <f>K181+K184+K182+K183</f>
        <v>3609725</v>
      </c>
      <c r="L180" s="46">
        <f>L181+L184+L182+L183</f>
        <v>1151725</v>
      </c>
      <c r="M180" s="46">
        <f>M181+M184+M182+M183</f>
        <v>515166.6699999999</v>
      </c>
    </row>
    <row r="181" spans="1:13" ht="30">
      <c r="A181" s="45"/>
      <c r="B181" s="39" t="s">
        <v>159</v>
      </c>
      <c r="C181" s="40" t="s">
        <v>85</v>
      </c>
      <c r="D181" s="41" t="s">
        <v>98</v>
      </c>
      <c r="E181" s="41">
        <v>6000500</v>
      </c>
      <c r="F181" s="41">
        <v>500</v>
      </c>
      <c r="G181" s="41" t="s">
        <v>173</v>
      </c>
      <c r="H181" s="153"/>
      <c r="I181" s="140">
        <f>SUM(J181:M181)</f>
        <v>5049698.71</v>
      </c>
      <c r="J181" s="46">
        <f>2520483.33+187077-55478.29-750000-50000</f>
        <v>1852082.04</v>
      </c>
      <c r="K181" s="46">
        <f>3780725-3000000+1000000+500000-750000</f>
        <v>1530725</v>
      </c>
      <c r="L181" s="46">
        <f>3780725-3000000-550000+1000000+500000-579000</f>
        <v>1151725</v>
      </c>
      <c r="M181" s="46">
        <f>5040966.67-2000000-1000000-1500000-25800</f>
        <v>515166.6699999999</v>
      </c>
    </row>
    <row r="182" spans="1:13" ht="30">
      <c r="A182" s="45"/>
      <c r="B182" s="39" t="s">
        <v>181</v>
      </c>
      <c r="C182" s="40" t="s">
        <v>85</v>
      </c>
      <c r="D182" s="41" t="s">
        <v>98</v>
      </c>
      <c r="E182" s="41">
        <v>6000500</v>
      </c>
      <c r="F182" s="41">
        <v>500</v>
      </c>
      <c r="G182" s="41" t="s">
        <v>174</v>
      </c>
      <c r="H182" s="153"/>
      <c r="I182" s="140">
        <f>SUM(J182:M182)</f>
        <v>40000</v>
      </c>
      <c r="J182" s="46">
        <v>40000</v>
      </c>
      <c r="K182" s="46">
        <v>0</v>
      </c>
      <c r="L182" s="46">
        <v>0</v>
      </c>
      <c r="M182" s="46">
        <v>0</v>
      </c>
    </row>
    <row r="183" spans="1:13" ht="30">
      <c r="A183" s="45"/>
      <c r="B183" s="39" t="s">
        <v>23</v>
      </c>
      <c r="C183" s="40" t="s">
        <v>85</v>
      </c>
      <c r="D183" s="41" t="s">
        <v>98</v>
      </c>
      <c r="E183" s="41">
        <v>6000500</v>
      </c>
      <c r="F183" s="41">
        <v>500</v>
      </c>
      <c r="G183" s="41" t="s">
        <v>175</v>
      </c>
      <c r="H183" s="153"/>
      <c r="I183" s="140">
        <f>SUM(J183:M183)</f>
        <v>10000</v>
      </c>
      <c r="J183" s="46">
        <v>10000</v>
      </c>
      <c r="K183" s="46">
        <v>0</v>
      </c>
      <c r="L183" s="46">
        <v>0</v>
      </c>
      <c r="M183" s="46">
        <v>0</v>
      </c>
    </row>
    <row r="184" spans="1:13" ht="30">
      <c r="A184" s="45"/>
      <c r="B184" s="39" t="s">
        <v>162</v>
      </c>
      <c r="C184" s="40" t="s">
        <v>85</v>
      </c>
      <c r="D184" s="41" t="s">
        <v>98</v>
      </c>
      <c r="E184" s="41">
        <v>6000500</v>
      </c>
      <c r="F184" s="41">
        <v>500</v>
      </c>
      <c r="G184" s="41" t="s">
        <v>177</v>
      </c>
      <c r="H184" s="153"/>
      <c r="I184" s="140">
        <f>SUM(J184:M184)</f>
        <v>2079000</v>
      </c>
      <c r="J184" s="46">
        <v>0</v>
      </c>
      <c r="K184" s="46">
        <v>2079000</v>
      </c>
      <c r="L184" s="46">
        <v>0</v>
      </c>
      <c r="M184" s="46">
        <v>0</v>
      </c>
    </row>
    <row r="185" spans="1:13" ht="13.5" customHeight="1">
      <c r="A185" s="45"/>
      <c r="B185" s="39" t="s">
        <v>54</v>
      </c>
      <c r="C185" s="40" t="s">
        <v>85</v>
      </c>
      <c r="D185" s="58" t="s">
        <v>99</v>
      </c>
      <c r="E185" s="58"/>
      <c r="F185" s="58"/>
      <c r="G185" s="58"/>
      <c r="H185" s="160"/>
      <c r="I185" s="182">
        <f>I186</f>
        <v>973880</v>
      </c>
      <c r="J185" s="46">
        <f aca="true" t="shared" si="27" ref="J185:M188">J186</f>
        <v>269375</v>
      </c>
      <c r="K185" s="46">
        <f t="shared" si="27"/>
        <v>269375</v>
      </c>
      <c r="L185" s="46">
        <f t="shared" si="27"/>
        <v>240255</v>
      </c>
      <c r="M185" s="46">
        <f t="shared" si="27"/>
        <v>194875</v>
      </c>
    </row>
    <row r="186" spans="1:13" ht="30">
      <c r="A186" s="45"/>
      <c r="B186" s="39" t="s">
        <v>55</v>
      </c>
      <c r="C186" s="40" t="s">
        <v>85</v>
      </c>
      <c r="D186" s="41" t="s">
        <v>100</v>
      </c>
      <c r="E186" s="41"/>
      <c r="F186" s="41"/>
      <c r="G186" s="41"/>
      <c r="H186" s="153"/>
      <c r="I186" s="140">
        <f>I187</f>
        <v>973880</v>
      </c>
      <c r="J186" s="46">
        <f t="shared" si="27"/>
        <v>269375</v>
      </c>
      <c r="K186" s="46">
        <f t="shared" si="27"/>
        <v>269375</v>
      </c>
      <c r="L186" s="46">
        <f t="shared" si="27"/>
        <v>240255</v>
      </c>
      <c r="M186" s="46">
        <f t="shared" si="27"/>
        <v>194875</v>
      </c>
    </row>
    <row r="187" spans="1:13" ht="30">
      <c r="A187" s="45"/>
      <c r="B187" s="39" t="s">
        <v>56</v>
      </c>
      <c r="C187" s="40" t="s">
        <v>85</v>
      </c>
      <c r="D187" s="41" t="s">
        <v>100</v>
      </c>
      <c r="E187" s="41">
        <v>4310000</v>
      </c>
      <c r="F187" s="41"/>
      <c r="G187" s="41"/>
      <c r="H187" s="153"/>
      <c r="I187" s="140">
        <f>I188</f>
        <v>973880</v>
      </c>
      <c r="J187" s="46">
        <f t="shared" si="27"/>
        <v>269375</v>
      </c>
      <c r="K187" s="46">
        <f t="shared" si="27"/>
        <v>269375</v>
      </c>
      <c r="L187" s="46">
        <f t="shared" si="27"/>
        <v>240255</v>
      </c>
      <c r="M187" s="46">
        <f t="shared" si="27"/>
        <v>194875</v>
      </c>
    </row>
    <row r="188" spans="1:13" ht="30">
      <c r="A188" s="45"/>
      <c r="B188" s="39" t="s">
        <v>57</v>
      </c>
      <c r="C188" s="40" t="s">
        <v>85</v>
      </c>
      <c r="D188" s="41" t="s">
        <v>100</v>
      </c>
      <c r="E188" s="41">
        <v>4310100</v>
      </c>
      <c r="F188" s="41"/>
      <c r="G188" s="41"/>
      <c r="H188" s="153"/>
      <c r="I188" s="140">
        <f>I189</f>
        <v>973880</v>
      </c>
      <c r="J188" s="46">
        <f t="shared" si="27"/>
        <v>269375</v>
      </c>
      <c r="K188" s="46">
        <f t="shared" si="27"/>
        <v>269375</v>
      </c>
      <c r="L188" s="46">
        <f t="shared" si="27"/>
        <v>240255</v>
      </c>
      <c r="M188" s="46">
        <f t="shared" si="27"/>
        <v>194875</v>
      </c>
    </row>
    <row r="189" spans="1:13" ht="30">
      <c r="A189" s="45"/>
      <c r="B189" s="39" t="s">
        <v>14</v>
      </c>
      <c r="C189" s="40" t="s">
        <v>85</v>
      </c>
      <c r="D189" s="41" t="s">
        <v>100</v>
      </c>
      <c r="E189" s="41">
        <v>4310100</v>
      </c>
      <c r="F189" s="41">
        <v>500</v>
      </c>
      <c r="G189" s="41"/>
      <c r="H189" s="153"/>
      <c r="I189" s="140">
        <f>I191+I192+I190</f>
        <v>973880</v>
      </c>
      <c r="J189" s="54">
        <f>J191+J192+J190</f>
        <v>269375</v>
      </c>
      <c r="K189" s="54">
        <f>K191+K192+K190</f>
        <v>269375</v>
      </c>
      <c r="L189" s="54">
        <f>L191+L192+L190</f>
        <v>240255</v>
      </c>
      <c r="M189" s="54">
        <f>M191+M192+M190</f>
        <v>194875</v>
      </c>
    </row>
    <row r="190" spans="1:13" ht="30">
      <c r="A190" s="61"/>
      <c r="B190" s="62" t="s">
        <v>158</v>
      </c>
      <c r="C190" s="40" t="s">
        <v>85</v>
      </c>
      <c r="D190" s="41" t="s">
        <v>100</v>
      </c>
      <c r="E190" s="41">
        <v>4310100</v>
      </c>
      <c r="F190" s="41">
        <v>500</v>
      </c>
      <c r="G190" s="63" t="s">
        <v>171</v>
      </c>
      <c r="H190" s="161"/>
      <c r="I190" s="142">
        <f>SUM(J190:M190)</f>
        <v>120000</v>
      </c>
      <c r="J190" s="64">
        <v>20000</v>
      </c>
      <c r="K190" s="64">
        <v>60000</v>
      </c>
      <c r="L190" s="64">
        <v>20000</v>
      </c>
      <c r="M190" s="64">
        <v>20000</v>
      </c>
    </row>
    <row r="191" spans="1:13" ht="30">
      <c r="A191" s="61"/>
      <c r="B191" s="62" t="s">
        <v>181</v>
      </c>
      <c r="C191" s="40" t="s">
        <v>85</v>
      </c>
      <c r="D191" s="41" t="s">
        <v>100</v>
      </c>
      <c r="E191" s="41">
        <v>4310100</v>
      </c>
      <c r="F191" s="41">
        <v>500</v>
      </c>
      <c r="G191" s="63" t="s">
        <v>174</v>
      </c>
      <c r="H191" s="161"/>
      <c r="I191" s="142">
        <f>SUM(J191:M191)</f>
        <v>477500</v>
      </c>
      <c r="J191" s="64">
        <v>119375</v>
      </c>
      <c r="K191" s="64">
        <v>119375</v>
      </c>
      <c r="L191" s="64">
        <f>119375</f>
        <v>119375</v>
      </c>
      <c r="M191" s="64">
        <v>119375</v>
      </c>
    </row>
    <row r="192" spans="1:13" ht="30">
      <c r="A192" s="61"/>
      <c r="B192" s="62" t="s">
        <v>23</v>
      </c>
      <c r="C192" s="40" t="s">
        <v>85</v>
      </c>
      <c r="D192" s="41" t="s">
        <v>100</v>
      </c>
      <c r="E192" s="41">
        <v>4310100</v>
      </c>
      <c r="F192" s="41">
        <v>500</v>
      </c>
      <c r="G192" s="63" t="s">
        <v>175</v>
      </c>
      <c r="H192" s="161"/>
      <c r="I192" s="142">
        <f>SUM(J192:M192)</f>
        <v>376380</v>
      </c>
      <c r="J192" s="64">
        <f>150000-20000</f>
        <v>130000</v>
      </c>
      <c r="K192" s="64">
        <f>150000-60000</f>
        <v>90000</v>
      </c>
      <c r="L192" s="64">
        <f>150000-20000-29120</f>
        <v>100880</v>
      </c>
      <c r="M192" s="64">
        <f>150000-20000-74500</f>
        <v>55500</v>
      </c>
    </row>
    <row r="193" spans="1:13" ht="30">
      <c r="A193" s="45"/>
      <c r="B193" s="39" t="s">
        <v>65</v>
      </c>
      <c r="C193" s="40" t="s">
        <v>85</v>
      </c>
      <c r="D193" s="58" t="s">
        <v>103</v>
      </c>
      <c r="E193" s="58"/>
      <c r="F193" s="58"/>
      <c r="G193" s="58"/>
      <c r="H193" s="160"/>
      <c r="I193" s="139">
        <f>I194</f>
        <v>681000</v>
      </c>
      <c r="J193" s="46">
        <f>J194</f>
        <v>325000</v>
      </c>
      <c r="K193" s="46">
        <f>K194</f>
        <v>125000</v>
      </c>
      <c r="L193" s="46">
        <f>L194</f>
        <v>115000</v>
      </c>
      <c r="M193" s="46">
        <f>M194</f>
        <v>106000</v>
      </c>
    </row>
    <row r="194" spans="1:13" ht="30">
      <c r="A194" s="45"/>
      <c r="B194" s="39" t="s">
        <v>66</v>
      </c>
      <c r="C194" s="40" t="s">
        <v>85</v>
      </c>
      <c r="D194" s="41" t="s">
        <v>104</v>
      </c>
      <c r="E194" s="41"/>
      <c r="F194" s="41"/>
      <c r="G194" s="41"/>
      <c r="H194" s="153"/>
      <c r="I194" s="140">
        <f>I197+I195</f>
        <v>681000</v>
      </c>
      <c r="J194" s="46">
        <f>J197</f>
        <v>325000</v>
      </c>
      <c r="K194" s="46">
        <f>K197</f>
        <v>125000</v>
      </c>
      <c r="L194" s="46">
        <f>L197</f>
        <v>115000</v>
      </c>
      <c r="M194" s="46">
        <f>M197</f>
        <v>106000</v>
      </c>
    </row>
    <row r="195" spans="1:13" ht="30">
      <c r="A195" s="45"/>
      <c r="B195" s="39"/>
      <c r="C195" s="40" t="s">
        <v>85</v>
      </c>
      <c r="D195" s="41" t="s">
        <v>104</v>
      </c>
      <c r="E195" s="41" t="s">
        <v>124</v>
      </c>
      <c r="F195" s="41"/>
      <c r="G195" s="41"/>
      <c r="H195" s="153"/>
      <c r="I195" s="140">
        <f>I196</f>
        <v>10000</v>
      </c>
      <c r="J195" s="46">
        <f>J196</f>
        <v>0</v>
      </c>
      <c r="K195" s="46">
        <f>K196</f>
        <v>0</v>
      </c>
      <c r="L195" s="46">
        <f>L196</f>
        <v>10000</v>
      </c>
      <c r="M195" s="46">
        <f>M196</f>
        <v>0</v>
      </c>
    </row>
    <row r="196" spans="1:13" ht="30">
      <c r="A196" s="45"/>
      <c r="B196" s="39"/>
      <c r="C196" s="40" t="s">
        <v>85</v>
      </c>
      <c r="D196" s="41" t="s">
        <v>104</v>
      </c>
      <c r="E196" s="41" t="s">
        <v>124</v>
      </c>
      <c r="F196" s="41" t="s">
        <v>109</v>
      </c>
      <c r="G196" s="41" t="s">
        <v>174</v>
      </c>
      <c r="H196" s="153"/>
      <c r="I196" s="140">
        <f>J196+K196+L196+M196</f>
        <v>10000</v>
      </c>
      <c r="J196" s="46">
        <v>0</v>
      </c>
      <c r="K196" s="46">
        <v>0</v>
      </c>
      <c r="L196" s="46">
        <v>10000</v>
      </c>
      <c r="M196" s="46">
        <v>0</v>
      </c>
    </row>
    <row r="197" spans="1:13" ht="14.25" customHeight="1">
      <c r="A197" s="45"/>
      <c r="B197" s="136" t="s">
        <v>67</v>
      </c>
      <c r="C197" s="40" t="s">
        <v>85</v>
      </c>
      <c r="D197" s="41" t="s">
        <v>104</v>
      </c>
      <c r="E197" s="41">
        <v>5120000</v>
      </c>
      <c r="F197" s="41"/>
      <c r="G197" s="41"/>
      <c r="H197" s="153"/>
      <c r="I197" s="140">
        <f aca="true" t="shared" si="28" ref="I197:M198">I198</f>
        <v>671000</v>
      </c>
      <c r="J197" s="46">
        <f t="shared" si="28"/>
        <v>325000</v>
      </c>
      <c r="K197" s="46">
        <f t="shared" si="28"/>
        <v>125000</v>
      </c>
      <c r="L197" s="46">
        <f t="shared" si="28"/>
        <v>115000</v>
      </c>
      <c r="M197" s="46">
        <f t="shared" si="28"/>
        <v>106000</v>
      </c>
    </row>
    <row r="198" spans="1:13" ht="23.25" customHeight="1">
      <c r="A198" s="45"/>
      <c r="B198" s="136" t="s">
        <v>68</v>
      </c>
      <c r="C198" s="40" t="s">
        <v>85</v>
      </c>
      <c r="D198" s="41" t="s">
        <v>104</v>
      </c>
      <c r="E198" s="41">
        <v>5129700</v>
      </c>
      <c r="F198" s="41"/>
      <c r="G198" s="41"/>
      <c r="H198" s="153"/>
      <c r="I198" s="140">
        <f t="shared" si="28"/>
        <v>671000</v>
      </c>
      <c r="J198" s="46">
        <f t="shared" si="28"/>
        <v>325000</v>
      </c>
      <c r="K198" s="46">
        <f t="shared" si="28"/>
        <v>125000</v>
      </c>
      <c r="L198" s="46">
        <f t="shared" si="28"/>
        <v>115000</v>
      </c>
      <c r="M198" s="46">
        <f t="shared" si="28"/>
        <v>106000</v>
      </c>
    </row>
    <row r="199" spans="1:13" ht="30">
      <c r="A199" s="45"/>
      <c r="B199" s="39" t="s">
        <v>14</v>
      </c>
      <c r="C199" s="40" t="s">
        <v>85</v>
      </c>
      <c r="D199" s="41" t="s">
        <v>104</v>
      </c>
      <c r="E199" s="41">
        <v>5129700</v>
      </c>
      <c r="F199" s="41">
        <v>500</v>
      </c>
      <c r="G199" s="41"/>
      <c r="H199" s="153"/>
      <c r="I199" s="140">
        <f>I202+I200+I203+I201</f>
        <v>671000</v>
      </c>
      <c r="J199" s="54">
        <f>J202+J200+J203+J201</f>
        <v>325000</v>
      </c>
      <c r="K199" s="54">
        <f>K202+K200+K203+K201</f>
        <v>125000</v>
      </c>
      <c r="L199" s="54">
        <f>L202+L200+L203+L201</f>
        <v>115000</v>
      </c>
      <c r="M199" s="54">
        <f>M202+M200+M203+M201</f>
        <v>106000</v>
      </c>
    </row>
    <row r="200" spans="1:13" ht="30">
      <c r="A200" s="45"/>
      <c r="B200" s="39" t="s">
        <v>210</v>
      </c>
      <c r="C200" s="40" t="s">
        <v>85</v>
      </c>
      <c r="D200" s="41" t="s">
        <v>104</v>
      </c>
      <c r="E200" s="41">
        <v>5129700</v>
      </c>
      <c r="F200" s="41">
        <v>500</v>
      </c>
      <c r="G200" s="41" t="s">
        <v>209</v>
      </c>
      <c r="H200" s="153"/>
      <c r="I200" s="140">
        <f>SUM(J200:M200)</f>
        <v>40000</v>
      </c>
      <c r="J200" s="46">
        <v>10000</v>
      </c>
      <c r="K200" s="46">
        <v>10000</v>
      </c>
      <c r="L200" s="46">
        <v>10000</v>
      </c>
      <c r="M200" s="46">
        <v>10000</v>
      </c>
    </row>
    <row r="201" spans="1:13" ht="30">
      <c r="A201" s="45"/>
      <c r="B201" s="39" t="s">
        <v>181</v>
      </c>
      <c r="C201" s="40" t="s">
        <v>85</v>
      </c>
      <c r="D201" s="41" t="s">
        <v>104</v>
      </c>
      <c r="E201" s="41">
        <v>5129700</v>
      </c>
      <c r="F201" s="41">
        <v>500</v>
      </c>
      <c r="G201" s="41" t="s">
        <v>174</v>
      </c>
      <c r="H201" s="153"/>
      <c r="I201" s="140">
        <f>SUM(J201:M201)</f>
        <v>15750</v>
      </c>
      <c r="J201" s="46">
        <v>15750</v>
      </c>
      <c r="K201" s="46">
        <v>0</v>
      </c>
      <c r="L201" s="46">
        <v>0</v>
      </c>
      <c r="M201" s="46">
        <v>0</v>
      </c>
    </row>
    <row r="202" spans="1:13" ht="30">
      <c r="A202" s="45"/>
      <c r="B202" s="39" t="s">
        <v>23</v>
      </c>
      <c r="C202" s="40" t="s">
        <v>85</v>
      </c>
      <c r="D202" s="41" t="s">
        <v>104</v>
      </c>
      <c r="E202" s="41">
        <v>5129700</v>
      </c>
      <c r="F202" s="41">
        <v>500</v>
      </c>
      <c r="G202" s="41" t="s">
        <v>175</v>
      </c>
      <c r="H202" s="153"/>
      <c r="I202" s="140">
        <f>SUM(J202:M202)</f>
        <v>581750</v>
      </c>
      <c r="J202" s="46">
        <f>325000-10000-23500-10000-15750</f>
        <v>265750</v>
      </c>
      <c r="K202" s="46">
        <f>325000-10000-200000</f>
        <v>115000</v>
      </c>
      <c r="L202" s="46">
        <v>105000</v>
      </c>
      <c r="M202" s="46">
        <f>325000-10000-219000</f>
        <v>96000</v>
      </c>
    </row>
    <row r="203" spans="1:13" ht="30">
      <c r="A203" s="45"/>
      <c r="B203" s="39" t="s">
        <v>162</v>
      </c>
      <c r="C203" s="40" t="s">
        <v>85</v>
      </c>
      <c r="D203" s="41" t="s">
        <v>104</v>
      </c>
      <c r="E203" s="41">
        <v>5129700</v>
      </c>
      <c r="F203" s="41">
        <v>500</v>
      </c>
      <c r="G203" s="41" t="s">
        <v>177</v>
      </c>
      <c r="H203" s="153"/>
      <c r="I203" s="140">
        <f>SUM(J203:M203)</f>
        <v>33500</v>
      </c>
      <c r="J203" s="46">
        <f>23500+10000</f>
        <v>33500</v>
      </c>
      <c r="K203" s="46">
        <v>0</v>
      </c>
      <c r="L203" s="46">
        <v>0</v>
      </c>
      <c r="M203" s="46">
        <v>0</v>
      </c>
    </row>
    <row r="204" spans="1:13" ht="30">
      <c r="A204" s="65"/>
      <c r="B204" s="39" t="s">
        <v>69</v>
      </c>
      <c r="C204" s="40" t="s">
        <v>85</v>
      </c>
      <c r="D204" s="171">
        <v>1000</v>
      </c>
      <c r="E204" s="41"/>
      <c r="F204" s="41"/>
      <c r="G204" s="41"/>
      <c r="H204" s="153"/>
      <c r="I204" s="182">
        <f>I205</f>
        <v>5137200</v>
      </c>
      <c r="J204" s="46">
        <f aca="true" t="shared" si="29" ref="J204:M207">J205</f>
        <v>1624300</v>
      </c>
      <c r="K204" s="46">
        <f t="shared" si="29"/>
        <v>1154300</v>
      </c>
      <c r="L204" s="46">
        <f t="shared" si="29"/>
        <v>1154300</v>
      </c>
      <c r="M204" s="46">
        <f t="shared" si="29"/>
        <v>1204300</v>
      </c>
    </row>
    <row r="205" spans="1:13" ht="30">
      <c r="A205" s="65"/>
      <c r="B205" s="39" t="s">
        <v>70</v>
      </c>
      <c r="C205" s="40" t="s">
        <v>85</v>
      </c>
      <c r="D205" s="170">
        <v>1003</v>
      </c>
      <c r="E205" s="41"/>
      <c r="F205" s="41"/>
      <c r="G205" s="41"/>
      <c r="H205" s="153"/>
      <c r="I205" s="140">
        <f>I206</f>
        <v>5137200</v>
      </c>
      <c r="J205" s="46">
        <f t="shared" si="29"/>
        <v>1624300</v>
      </c>
      <c r="K205" s="46">
        <f t="shared" si="29"/>
        <v>1154300</v>
      </c>
      <c r="L205" s="46">
        <f t="shared" si="29"/>
        <v>1154300</v>
      </c>
      <c r="M205" s="46">
        <f t="shared" si="29"/>
        <v>1204300</v>
      </c>
    </row>
    <row r="206" spans="1:13" ht="16.5" customHeight="1">
      <c r="A206" s="65"/>
      <c r="B206" s="136" t="s">
        <v>71</v>
      </c>
      <c r="C206" s="40" t="s">
        <v>85</v>
      </c>
      <c r="D206" s="170">
        <v>1003</v>
      </c>
      <c r="E206" s="41">
        <v>5053300</v>
      </c>
      <c r="F206" s="41"/>
      <c r="G206" s="41"/>
      <c r="H206" s="153"/>
      <c r="I206" s="140">
        <f>I207</f>
        <v>5137200</v>
      </c>
      <c r="J206" s="46">
        <f t="shared" si="29"/>
        <v>1624300</v>
      </c>
      <c r="K206" s="46">
        <f t="shared" si="29"/>
        <v>1154300</v>
      </c>
      <c r="L206" s="46">
        <f t="shared" si="29"/>
        <v>1154300</v>
      </c>
      <c r="M206" s="46">
        <f t="shared" si="29"/>
        <v>1204300</v>
      </c>
    </row>
    <row r="207" spans="1:13" ht="13.5" customHeight="1">
      <c r="A207" s="65"/>
      <c r="B207" s="39" t="s">
        <v>72</v>
      </c>
      <c r="C207" s="40" t="s">
        <v>85</v>
      </c>
      <c r="D207" s="170">
        <v>1003</v>
      </c>
      <c r="E207" s="66">
        <v>5053300</v>
      </c>
      <c r="F207" s="41"/>
      <c r="G207" s="41"/>
      <c r="H207" s="153"/>
      <c r="I207" s="140">
        <f>I208</f>
        <v>5137200</v>
      </c>
      <c r="J207" s="46">
        <f t="shared" si="29"/>
        <v>1624300</v>
      </c>
      <c r="K207" s="46">
        <f t="shared" si="29"/>
        <v>1154300</v>
      </c>
      <c r="L207" s="46">
        <f t="shared" si="29"/>
        <v>1154300</v>
      </c>
      <c r="M207" s="46">
        <f t="shared" si="29"/>
        <v>1204300</v>
      </c>
    </row>
    <row r="208" spans="1:13" ht="30">
      <c r="A208" s="65"/>
      <c r="B208" s="39" t="s">
        <v>23</v>
      </c>
      <c r="C208" s="40" t="s">
        <v>85</v>
      </c>
      <c r="D208" s="170">
        <v>1003</v>
      </c>
      <c r="E208" s="66">
        <v>5053300</v>
      </c>
      <c r="F208" s="41" t="s">
        <v>105</v>
      </c>
      <c r="G208" s="41"/>
      <c r="H208" s="153"/>
      <c r="I208" s="140">
        <f>I209+I210</f>
        <v>5137200</v>
      </c>
      <c r="J208" s="46">
        <f>J209+J210</f>
        <v>1624300</v>
      </c>
      <c r="K208" s="46">
        <f>K209+K210</f>
        <v>1154300</v>
      </c>
      <c r="L208" s="46">
        <f>L209+L210</f>
        <v>1154300</v>
      </c>
      <c r="M208" s="46">
        <f>M209+M210</f>
        <v>1204300</v>
      </c>
    </row>
    <row r="209" spans="1:13" ht="30">
      <c r="A209" s="65"/>
      <c r="B209" s="39" t="s">
        <v>188</v>
      </c>
      <c r="C209" s="40" t="s">
        <v>85</v>
      </c>
      <c r="D209" s="170">
        <v>1003</v>
      </c>
      <c r="E209" s="66">
        <v>5053300</v>
      </c>
      <c r="F209" s="41" t="s">
        <v>105</v>
      </c>
      <c r="G209" s="41" t="s">
        <v>187</v>
      </c>
      <c r="H209" s="153"/>
      <c r="I209" s="140">
        <f>SUM(J209:M209)</f>
        <v>5087200</v>
      </c>
      <c r="J209" s="46">
        <f>1154300+470000</f>
        <v>1624300</v>
      </c>
      <c r="K209" s="46">
        <v>1154300</v>
      </c>
      <c r="L209" s="46">
        <v>1154300</v>
      </c>
      <c r="M209" s="46">
        <f>1154300</f>
        <v>1154300</v>
      </c>
    </row>
    <row r="210" spans="1:13" ht="30">
      <c r="A210" s="65"/>
      <c r="B210" s="39" t="s">
        <v>23</v>
      </c>
      <c r="C210" s="40" t="s">
        <v>85</v>
      </c>
      <c r="D210" s="170">
        <v>1003</v>
      </c>
      <c r="E210" s="66">
        <v>5053300</v>
      </c>
      <c r="F210" s="41" t="s">
        <v>105</v>
      </c>
      <c r="G210" s="41" t="s">
        <v>175</v>
      </c>
      <c r="H210" s="153"/>
      <c r="I210" s="140">
        <f>SUM(J210:M210)</f>
        <v>50000</v>
      </c>
      <c r="J210" s="46">
        <v>0</v>
      </c>
      <c r="K210" s="46">
        <v>0</v>
      </c>
      <c r="L210" s="46">
        <v>0</v>
      </c>
      <c r="M210" s="46">
        <v>50000</v>
      </c>
    </row>
    <row r="211" spans="1:13" ht="30">
      <c r="A211" s="65"/>
      <c r="B211" s="39" t="s">
        <v>73</v>
      </c>
      <c r="C211" s="40" t="s">
        <v>85</v>
      </c>
      <c r="D211" s="171">
        <v>1100</v>
      </c>
      <c r="E211" s="41"/>
      <c r="F211" s="41"/>
      <c r="G211" s="41"/>
      <c r="H211" s="153"/>
      <c r="I211" s="139">
        <f>I212</f>
        <v>521853</v>
      </c>
      <c r="J211" s="46">
        <f>J212</f>
        <v>130463.25</v>
      </c>
      <c r="K211" s="46">
        <f>K212</f>
        <v>130463.25</v>
      </c>
      <c r="L211" s="46">
        <f>L212</f>
        <v>130463.25</v>
      </c>
      <c r="M211" s="46">
        <f>M212</f>
        <v>130463.25</v>
      </c>
    </row>
    <row r="212" spans="1:13" ht="30">
      <c r="A212" s="65"/>
      <c r="B212" s="39" t="s">
        <v>74</v>
      </c>
      <c r="C212" s="40" t="s">
        <v>85</v>
      </c>
      <c r="D212" s="170">
        <v>1104</v>
      </c>
      <c r="E212" s="41"/>
      <c r="F212" s="41"/>
      <c r="G212" s="41"/>
      <c r="H212" s="153"/>
      <c r="I212" s="140">
        <f>I213</f>
        <v>521853</v>
      </c>
      <c r="J212" s="46">
        <f aca="true" t="shared" si="30" ref="J212:M215">J213</f>
        <v>130463.25</v>
      </c>
      <c r="K212" s="46">
        <f t="shared" si="30"/>
        <v>130463.25</v>
      </c>
      <c r="L212" s="46">
        <f t="shared" si="30"/>
        <v>130463.25</v>
      </c>
      <c r="M212" s="46">
        <f t="shared" si="30"/>
        <v>130463.25</v>
      </c>
    </row>
    <row r="213" spans="1:13" ht="30">
      <c r="A213" s="65"/>
      <c r="B213" s="39" t="s">
        <v>73</v>
      </c>
      <c r="C213" s="40" t="s">
        <v>85</v>
      </c>
      <c r="D213" s="170">
        <v>1104</v>
      </c>
      <c r="E213" s="41">
        <v>5210000</v>
      </c>
      <c r="F213" s="41"/>
      <c r="G213" s="41"/>
      <c r="H213" s="153"/>
      <c r="I213" s="140">
        <f>I214</f>
        <v>521853</v>
      </c>
      <c r="J213" s="46">
        <f t="shared" si="30"/>
        <v>130463.25</v>
      </c>
      <c r="K213" s="46">
        <f t="shared" si="30"/>
        <v>130463.25</v>
      </c>
      <c r="L213" s="46">
        <f t="shared" si="30"/>
        <v>130463.25</v>
      </c>
      <c r="M213" s="46">
        <f t="shared" si="30"/>
        <v>130463.25</v>
      </c>
    </row>
    <row r="214" spans="1:13" ht="32.25" customHeight="1">
      <c r="A214" s="65"/>
      <c r="B214" s="137" t="s">
        <v>75</v>
      </c>
      <c r="C214" s="40" t="s">
        <v>85</v>
      </c>
      <c r="D214" s="170">
        <v>1104</v>
      </c>
      <c r="E214" s="41">
        <v>5210600</v>
      </c>
      <c r="F214" s="41"/>
      <c r="G214" s="41"/>
      <c r="H214" s="153"/>
      <c r="I214" s="140">
        <f>I215</f>
        <v>521853</v>
      </c>
      <c r="J214" s="46">
        <f t="shared" si="30"/>
        <v>130463.25</v>
      </c>
      <c r="K214" s="46">
        <f t="shared" si="30"/>
        <v>130463.25</v>
      </c>
      <c r="L214" s="46">
        <f t="shared" si="30"/>
        <v>130463.25</v>
      </c>
      <c r="M214" s="46">
        <f t="shared" si="30"/>
        <v>130463.25</v>
      </c>
    </row>
    <row r="215" spans="1:13" ht="13.5" customHeight="1">
      <c r="A215" s="65"/>
      <c r="B215" s="39" t="s">
        <v>74</v>
      </c>
      <c r="C215" s="40" t="s">
        <v>85</v>
      </c>
      <c r="D215" s="170">
        <v>1104</v>
      </c>
      <c r="E215" s="41">
        <v>5210600</v>
      </c>
      <c r="F215" s="41" t="s">
        <v>106</v>
      </c>
      <c r="G215" s="41"/>
      <c r="H215" s="153"/>
      <c r="I215" s="140">
        <f>I216</f>
        <v>521853</v>
      </c>
      <c r="J215" s="46">
        <f t="shared" si="30"/>
        <v>130463.25</v>
      </c>
      <c r="K215" s="46">
        <f t="shared" si="30"/>
        <v>130463.25</v>
      </c>
      <c r="L215" s="46">
        <f t="shared" si="30"/>
        <v>130463.25</v>
      </c>
      <c r="M215" s="46">
        <f t="shared" si="30"/>
        <v>130463.25</v>
      </c>
    </row>
    <row r="216" spans="1:13" ht="24" customHeight="1">
      <c r="A216" s="44"/>
      <c r="B216" s="4" t="s">
        <v>191</v>
      </c>
      <c r="C216" s="40" t="s">
        <v>85</v>
      </c>
      <c r="D216" s="170">
        <v>1104</v>
      </c>
      <c r="E216" s="41">
        <v>5210600</v>
      </c>
      <c r="F216" s="41" t="s">
        <v>106</v>
      </c>
      <c r="G216" s="41" t="s">
        <v>189</v>
      </c>
      <c r="H216" s="153"/>
      <c r="I216" s="140">
        <f>SUM(J216:M216)</f>
        <v>521853</v>
      </c>
      <c r="J216" s="46">
        <f>75000+221853/4</f>
        <v>130463.25</v>
      </c>
      <c r="K216" s="46">
        <v>130463.25</v>
      </c>
      <c r="L216" s="46">
        <v>130463.25</v>
      </c>
      <c r="M216" s="46">
        <v>130463.25</v>
      </c>
    </row>
    <row r="217" spans="1:13" ht="14.25" customHeight="1">
      <c r="A217" s="65"/>
      <c r="B217" s="67" t="s">
        <v>76</v>
      </c>
      <c r="C217" s="68"/>
      <c r="D217" s="68"/>
      <c r="E217" s="68"/>
      <c r="F217" s="68"/>
      <c r="G217" s="68"/>
      <c r="H217" s="162"/>
      <c r="I217" s="185">
        <f>I211+I204+I193+I185+I81+I99+I92+I14+I113</f>
        <v>169836291.5</v>
      </c>
      <c r="J217" s="46">
        <f>J211+J204+J193+J185+J113+J99+J92+J14+J81</f>
        <v>10208447.698333332</v>
      </c>
      <c r="K217" s="46">
        <f>K211+K204+K193+K185+K113+K99+K92+K14+K81</f>
        <v>121136301.6225</v>
      </c>
      <c r="L217" s="46">
        <f>L211+L204+L193+L185+L113+L99+L92+L14+L81</f>
        <v>26512704.3725</v>
      </c>
      <c r="M217" s="184">
        <f>M211+M204+M193+M185+M113+M99+M92+M14+M81</f>
        <v>11968487.806666667</v>
      </c>
    </row>
    <row r="218" ht="6.75" customHeight="1">
      <c r="I218" s="146"/>
    </row>
    <row r="219" spans="1:13" ht="173.25" customHeight="1">
      <c r="A219" s="71"/>
      <c r="B219" s="72" t="s">
        <v>143</v>
      </c>
      <c r="C219" s="72"/>
      <c r="D219" s="72"/>
      <c r="E219" s="72"/>
      <c r="F219" s="72"/>
      <c r="G219" s="72"/>
      <c r="H219" s="163"/>
      <c r="I219" s="73"/>
      <c r="J219" s="72"/>
      <c r="K219" s="72"/>
      <c r="L219" s="72"/>
      <c r="M219" s="72"/>
    </row>
    <row r="220" spans="1:13" ht="18.75">
      <c r="A220" s="71"/>
      <c r="B220" s="72" t="s">
        <v>192</v>
      </c>
      <c r="C220" s="72"/>
      <c r="D220" s="72"/>
      <c r="E220" s="72"/>
      <c r="F220" s="72"/>
      <c r="G220" s="72"/>
      <c r="H220" s="163"/>
      <c r="I220" s="73"/>
      <c r="J220" s="72"/>
      <c r="K220" s="72"/>
      <c r="L220" s="72"/>
      <c r="M220" s="72"/>
    </row>
    <row r="221" spans="1:13" ht="17.25">
      <c r="A221" s="71"/>
      <c r="B221" s="74"/>
      <c r="C221" s="74"/>
      <c r="D221" s="74"/>
      <c r="E221" s="74"/>
      <c r="F221" s="74"/>
      <c r="G221" s="74"/>
      <c r="H221" s="163"/>
      <c r="I221" s="99"/>
      <c r="J221" s="74"/>
      <c r="K221" s="74"/>
      <c r="L221" s="74"/>
      <c r="M221" s="74"/>
    </row>
    <row r="222" spans="1:13" ht="14.25">
      <c r="A222" s="263" t="s">
        <v>193</v>
      </c>
      <c r="B222" s="263" t="s">
        <v>2</v>
      </c>
      <c r="C222" s="264"/>
      <c r="D222" s="264" t="s">
        <v>3</v>
      </c>
      <c r="E222" s="264" t="s">
        <v>4</v>
      </c>
      <c r="F222" s="264" t="s">
        <v>5</v>
      </c>
      <c r="G222" s="264" t="s">
        <v>194</v>
      </c>
      <c r="H222" s="301" t="s">
        <v>214</v>
      </c>
      <c r="I222" s="265" t="s">
        <v>195</v>
      </c>
      <c r="J222" s="263" t="s">
        <v>152</v>
      </c>
      <c r="K222" s="263"/>
      <c r="L222" s="263"/>
      <c r="M222" s="263"/>
    </row>
    <row r="223" spans="1:13" ht="14.25">
      <c r="A223" s="263"/>
      <c r="B223" s="263"/>
      <c r="C223" s="264"/>
      <c r="D223" s="264"/>
      <c r="E223" s="264"/>
      <c r="F223" s="264"/>
      <c r="G223" s="264"/>
      <c r="H223" s="302"/>
      <c r="I223" s="265"/>
      <c r="J223" s="75" t="s">
        <v>153</v>
      </c>
      <c r="K223" s="75" t="s">
        <v>154</v>
      </c>
      <c r="L223" s="75" t="s">
        <v>155</v>
      </c>
      <c r="M223" s="75" t="s">
        <v>156</v>
      </c>
    </row>
    <row r="224" spans="1:13" ht="14.25">
      <c r="A224" s="76"/>
      <c r="B224" s="77" t="s">
        <v>43</v>
      </c>
      <c r="C224" s="78" t="s">
        <v>85</v>
      </c>
      <c r="D224" s="79" t="s">
        <v>95</v>
      </c>
      <c r="E224" s="79"/>
      <c r="F224" s="79"/>
      <c r="G224" s="80"/>
      <c r="H224" s="150"/>
      <c r="I224" s="143">
        <f>I225</f>
        <v>6575800</v>
      </c>
      <c r="J224" s="81">
        <f>J225</f>
        <v>0</v>
      </c>
      <c r="K224" s="81">
        <f>K225</f>
        <v>3000000</v>
      </c>
      <c r="L224" s="81">
        <f>L225</f>
        <v>3550000</v>
      </c>
      <c r="M224" s="81">
        <f>M225</f>
        <v>25800</v>
      </c>
    </row>
    <row r="225" spans="1:13" ht="14.25">
      <c r="A225" s="76"/>
      <c r="B225" s="4" t="s">
        <v>49</v>
      </c>
      <c r="C225" s="78" t="s">
        <v>85</v>
      </c>
      <c r="D225" s="82" t="s">
        <v>98</v>
      </c>
      <c r="E225" s="83"/>
      <c r="F225" s="82"/>
      <c r="G225" s="78"/>
      <c r="H225" s="154"/>
      <c r="I225" s="144">
        <f>I227+I230+I234</f>
        <v>6575800</v>
      </c>
      <c r="J225" s="85">
        <f>J227+J230+J234</f>
        <v>0</v>
      </c>
      <c r="K225" s="85">
        <f>K227+K230+K234</f>
        <v>3000000</v>
      </c>
      <c r="L225" s="85">
        <f>L227+L230+L234</f>
        <v>3550000</v>
      </c>
      <c r="M225" s="85">
        <f>M227+M230+M234</f>
        <v>25800</v>
      </c>
    </row>
    <row r="226" spans="1:13" ht="38.25" hidden="1">
      <c r="A226" s="76"/>
      <c r="B226" s="4" t="s">
        <v>196</v>
      </c>
      <c r="C226" s="78" t="s">
        <v>85</v>
      </c>
      <c r="D226" s="82" t="s">
        <v>98</v>
      </c>
      <c r="E226" s="82">
        <v>6000200</v>
      </c>
      <c r="F226" s="82"/>
      <c r="G226" s="78"/>
      <c r="H226" s="154"/>
      <c r="I226" s="144">
        <f aca="true" t="shared" si="31" ref="I226:M227">I227</f>
        <v>0</v>
      </c>
      <c r="J226" s="85">
        <f t="shared" si="31"/>
        <v>0</v>
      </c>
      <c r="K226" s="85">
        <f t="shared" si="31"/>
        <v>0</v>
      </c>
      <c r="L226" s="85">
        <f t="shared" si="31"/>
        <v>0</v>
      </c>
      <c r="M226" s="85">
        <f t="shared" si="31"/>
        <v>0</v>
      </c>
    </row>
    <row r="227" spans="1:13" ht="14.25" hidden="1">
      <c r="A227" s="76"/>
      <c r="B227" s="4" t="s">
        <v>14</v>
      </c>
      <c r="C227" s="78" t="s">
        <v>85</v>
      </c>
      <c r="D227" s="82" t="s">
        <v>98</v>
      </c>
      <c r="E227" s="82">
        <v>6000200</v>
      </c>
      <c r="F227" s="82">
        <v>500</v>
      </c>
      <c r="G227" s="78"/>
      <c r="H227" s="154"/>
      <c r="I227" s="144">
        <f t="shared" si="31"/>
        <v>0</v>
      </c>
      <c r="J227" s="85">
        <f t="shared" si="31"/>
        <v>0</v>
      </c>
      <c r="K227" s="85">
        <f t="shared" si="31"/>
        <v>0</v>
      </c>
      <c r="L227" s="85">
        <f t="shared" si="31"/>
        <v>0</v>
      </c>
      <c r="M227" s="85">
        <f t="shared" si="31"/>
        <v>0</v>
      </c>
    </row>
    <row r="228" spans="1:13" ht="14.25" hidden="1">
      <c r="A228" s="76"/>
      <c r="B228" s="4" t="s">
        <v>159</v>
      </c>
      <c r="C228" s="78" t="s">
        <v>85</v>
      </c>
      <c r="D228" s="82" t="s">
        <v>98</v>
      </c>
      <c r="E228" s="82">
        <v>6000200</v>
      </c>
      <c r="F228" s="82">
        <v>500</v>
      </c>
      <c r="G228" s="78">
        <v>225</v>
      </c>
      <c r="H228" s="154"/>
      <c r="I228" s="144">
        <f>SUM(J228:M228)</f>
        <v>0</v>
      </c>
      <c r="J228" s="86">
        <v>0</v>
      </c>
      <c r="K228" s="86">
        <v>0</v>
      </c>
      <c r="L228" s="86">
        <v>0</v>
      </c>
      <c r="M228" s="86">
        <v>0</v>
      </c>
    </row>
    <row r="229" spans="1:13" ht="14.25" hidden="1">
      <c r="A229" s="76"/>
      <c r="B229" s="4" t="s">
        <v>197</v>
      </c>
      <c r="C229" s="78" t="s">
        <v>85</v>
      </c>
      <c r="D229" s="82" t="s">
        <v>98</v>
      </c>
      <c r="E229" s="82">
        <v>6000300</v>
      </c>
      <c r="F229" s="82"/>
      <c r="G229" s="78"/>
      <c r="H229" s="154"/>
      <c r="I229" s="144">
        <f>I230</f>
        <v>0</v>
      </c>
      <c r="J229" s="85">
        <f>J230</f>
        <v>0</v>
      </c>
      <c r="K229" s="85">
        <f>K230</f>
        <v>0</v>
      </c>
      <c r="L229" s="85">
        <f>L230</f>
        <v>0</v>
      </c>
      <c r="M229" s="85">
        <f>M230</f>
        <v>0</v>
      </c>
    </row>
    <row r="230" spans="1:13" ht="14.25" hidden="1">
      <c r="A230" s="76"/>
      <c r="B230" s="4" t="s">
        <v>14</v>
      </c>
      <c r="C230" s="78" t="s">
        <v>85</v>
      </c>
      <c r="D230" s="82" t="s">
        <v>98</v>
      </c>
      <c r="E230" s="82">
        <v>6000300</v>
      </c>
      <c r="F230" s="82">
        <v>500</v>
      </c>
      <c r="G230" s="78"/>
      <c r="H230" s="154"/>
      <c r="I230" s="144">
        <f>SUM(I231:I232)</f>
        <v>0</v>
      </c>
      <c r="J230" s="85">
        <f>SUM(J231:J232)</f>
        <v>0</v>
      </c>
      <c r="K230" s="85">
        <f>SUM(K231:K232)</f>
        <v>0</v>
      </c>
      <c r="L230" s="85">
        <f>SUM(L231:L232)</f>
        <v>0</v>
      </c>
      <c r="M230" s="85">
        <f>SUM(M231:M232)</f>
        <v>0</v>
      </c>
    </row>
    <row r="231" spans="1:13" ht="14.25" hidden="1">
      <c r="A231" s="76"/>
      <c r="B231" s="4" t="s">
        <v>159</v>
      </c>
      <c r="C231" s="78" t="s">
        <v>85</v>
      </c>
      <c r="D231" s="82" t="s">
        <v>98</v>
      </c>
      <c r="E231" s="82">
        <v>6000300</v>
      </c>
      <c r="F231" s="82">
        <v>500</v>
      </c>
      <c r="G231" s="78" t="s">
        <v>173</v>
      </c>
      <c r="H231" s="154"/>
      <c r="I231" s="144">
        <f>SUM(J231:M231)</f>
        <v>0</v>
      </c>
      <c r="J231" s="87">
        <v>0</v>
      </c>
      <c r="K231" s="87">
        <v>0</v>
      </c>
      <c r="L231" s="87">
        <v>0</v>
      </c>
      <c r="M231" s="87">
        <v>0</v>
      </c>
    </row>
    <row r="232" spans="1:13" ht="14.25" hidden="1">
      <c r="A232" s="76"/>
      <c r="B232" s="4" t="s">
        <v>161</v>
      </c>
      <c r="C232" s="78" t="s">
        <v>85</v>
      </c>
      <c r="D232" s="82" t="s">
        <v>98</v>
      </c>
      <c r="E232" s="82">
        <v>6000300</v>
      </c>
      <c r="F232" s="82">
        <v>500</v>
      </c>
      <c r="G232" s="78" t="s">
        <v>176</v>
      </c>
      <c r="H232" s="154"/>
      <c r="I232" s="144">
        <f>SUM(J232:M232)</f>
        <v>0</v>
      </c>
      <c r="J232" s="87">
        <v>0</v>
      </c>
      <c r="K232" s="87">
        <v>0</v>
      </c>
      <c r="L232" s="87">
        <v>0</v>
      </c>
      <c r="M232" s="87">
        <v>0</v>
      </c>
    </row>
    <row r="233" spans="1:13" ht="14.25">
      <c r="A233" s="76"/>
      <c r="B233" s="4" t="s">
        <v>53</v>
      </c>
      <c r="C233" s="78" t="s">
        <v>85</v>
      </c>
      <c r="D233" s="82" t="s">
        <v>98</v>
      </c>
      <c r="E233" s="82" t="s">
        <v>198</v>
      </c>
      <c r="F233" s="82"/>
      <c r="G233" s="78"/>
      <c r="H233" s="154"/>
      <c r="I233" s="144">
        <f>I234</f>
        <v>6575800</v>
      </c>
      <c r="J233" s="85">
        <f>J234</f>
        <v>0</v>
      </c>
      <c r="K233" s="85">
        <f>K234</f>
        <v>3000000</v>
      </c>
      <c r="L233" s="85">
        <f>L234</f>
        <v>3550000</v>
      </c>
      <c r="M233" s="85">
        <f>M234</f>
        <v>25800</v>
      </c>
    </row>
    <row r="234" spans="1:13" ht="14.25">
      <c r="A234" s="76"/>
      <c r="B234" s="4" t="s">
        <v>14</v>
      </c>
      <c r="C234" s="78" t="s">
        <v>85</v>
      </c>
      <c r="D234" s="82" t="s">
        <v>98</v>
      </c>
      <c r="E234" s="82" t="s">
        <v>198</v>
      </c>
      <c r="F234" s="82">
        <v>500</v>
      </c>
      <c r="G234" s="78"/>
      <c r="H234" s="154"/>
      <c r="I234" s="144">
        <f>I235+I236</f>
        <v>6575800</v>
      </c>
      <c r="J234" s="85">
        <f>J235+J236</f>
        <v>0</v>
      </c>
      <c r="K234" s="85">
        <f>K235+K236</f>
        <v>3000000</v>
      </c>
      <c r="L234" s="85">
        <f>L235+L236</f>
        <v>3550000</v>
      </c>
      <c r="M234" s="85">
        <f>M235+M236</f>
        <v>25800</v>
      </c>
    </row>
    <row r="235" spans="1:13" ht="16.5">
      <c r="A235" s="76"/>
      <c r="B235" s="4" t="s">
        <v>159</v>
      </c>
      <c r="C235" s="78" t="s">
        <v>85</v>
      </c>
      <c r="D235" s="82" t="s">
        <v>98</v>
      </c>
      <c r="E235" s="82" t="s">
        <v>198</v>
      </c>
      <c r="F235" s="82">
        <v>500</v>
      </c>
      <c r="G235" s="78" t="s">
        <v>173</v>
      </c>
      <c r="H235" s="172" t="s">
        <v>215</v>
      </c>
      <c r="I235" s="144">
        <f>SUM(J235:M235)</f>
        <v>6575800</v>
      </c>
      <c r="J235" s="86">
        <v>0</v>
      </c>
      <c r="K235" s="86">
        <v>3000000</v>
      </c>
      <c r="L235" s="86">
        <v>3550000</v>
      </c>
      <c r="M235" s="86">
        <v>25800</v>
      </c>
    </row>
    <row r="236" spans="1:13" ht="0.75" customHeight="1" hidden="1">
      <c r="A236" s="76"/>
      <c r="B236" s="4" t="s">
        <v>161</v>
      </c>
      <c r="C236" s="78" t="s">
        <v>85</v>
      </c>
      <c r="D236" s="82" t="s">
        <v>98</v>
      </c>
      <c r="E236" s="82" t="s">
        <v>198</v>
      </c>
      <c r="F236" s="82">
        <v>500</v>
      </c>
      <c r="G236" s="78" t="s">
        <v>176</v>
      </c>
      <c r="H236" s="154"/>
      <c r="I236" s="144">
        <f>SUM(J236:M236)</f>
        <v>0</v>
      </c>
      <c r="J236" s="86">
        <v>0</v>
      </c>
      <c r="K236" s="86">
        <v>0</v>
      </c>
      <c r="L236" s="86">
        <v>0</v>
      </c>
      <c r="M236" s="86">
        <v>0</v>
      </c>
    </row>
    <row r="237" spans="1:13" ht="14.25">
      <c r="A237" s="88"/>
      <c r="B237" s="77" t="s">
        <v>24</v>
      </c>
      <c r="C237" s="78" t="s">
        <v>85</v>
      </c>
      <c r="D237" s="79" t="s">
        <v>87</v>
      </c>
      <c r="E237" s="89"/>
      <c r="F237" s="89"/>
      <c r="G237" s="80"/>
      <c r="H237" s="150"/>
      <c r="I237" s="143">
        <f>I238</f>
        <v>74800</v>
      </c>
      <c r="J237" s="81">
        <f aca="true" t="shared" si="32" ref="I237:M240">J238</f>
        <v>0</v>
      </c>
      <c r="K237" s="81">
        <f t="shared" si="32"/>
        <v>74800</v>
      </c>
      <c r="L237" s="81">
        <f t="shared" si="32"/>
        <v>0</v>
      </c>
      <c r="M237" s="81">
        <f t="shared" si="32"/>
        <v>0</v>
      </c>
    </row>
    <row r="238" spans="1:13" ht="25.5">
      <c r="A238" s="76"/>
      <c r="B238" s="4" t="s">
        <v>25</v>
      </c>
      <c r="C238" s="78" t="s">
        <v>85</v>
      </c>
      <c r="D238" s="82" t="s">
        <v>87</v>
      </c>
      <c r="E238" s="90" t="s">
        <v>121</v>
      </c>
      <c r="F238" s="90"/>
      <c r="G238" s="78"/>
      <c r="H238" s="154"/>
      <c r="I238" s="144">
        <f t="shared" si="32"/>
        <v>74800</v>
      </c>
      <c r="J238" s="85">
        <f>J239</f>
        <v>0</v>
      </c>
      <c r="K238" s="85">
        <f t="shared" si="32"/>
        <v>74800</v>
      </c>
      <c r="L238" s="85">
        <f t="shared" si="32"/>
        <v>0</v>
      </c>
      <c r="M238" s="85">
        <f t="shared" si="32"/>
        <v>0</v>
      </c>
    </row>
    <row r="239" spans="1:13" ht="12.75" customHeight="1">
      <c r="A239" s="76"/>
      <c r="B239" s="4" t="s">
        <v>26</v>
      </c>
      <c r="C239" s="78" t="s">
        <v>85</v>
      </c>
      <c r="D239" s="82" t="s">
        <v>87</v>
      </c>
      <c r="E239" s="90" t="s">
        <v>122</v>
      </c>
      <c r="F239" s="90"/>
      <c r="G239" s="78"/>
      <c r="H239" s="154"/>
      <c r="I239" s="144">
        <f t="shared" si="32"/>
        <v>74800</v>
      </c>
      <c r="J239" s="85">
        <f t="shared" si="32"/>
        <v>0</v>
      </c>
      <c r="K239" s="85">
        <f t="shared" si="32"/>
        <v>74800</v>
      </c>
      <c r="L239" s="85">
        <f t="shared" si="32"/>
        <v>0</v>
      </c>
      <c r="M239" s="85">
        <f t="shared" si="32"/>
        <v>0</v>
      </c>
    </row>
    <row r="240" spans="1:13" ht="15" customHeight="1">
      <c r="A240" s="76"/>
      <c r="B240" s="4" t="s">
        <v>26</v>
      </c>
      <c r="C240" s="78" t="s">
        <v>85</v>
      </c>
      <c r="D240" s="82" t="s">
        <v>87</v>
      </c>
      <c r="E240" s="90" t="s">
        <v>122</v>
      </c>
      <c r="F240" s="90"/>
      <c r="G240" s="78"/>
      <c r="H240" s="154"/>
      <c r="I240" s="144">
        <f t="shared" si="32"/>
        <v>74800</v>
      </c>
      <c r="J240" s="85">
        <f t="shared" si="32"/>
        <v>0</v>
      </c>
      <c r="K240" s="85">
        <f t="shared" si="32"/>
        <v>74800</v>
      </c>
      <c r="L240" s="85">
        <f t="shared" si="32"/>
        <v>0</v>
      </c>
      <c r="M240" s="85">
        <f t="shared" si="32"/>
        <v>0</v>
      </c>
    </row>
    <row r="241" spans="1:13" ht="12.75" customHeight="1">
      <c r="A241" s="76"/>
      <c r="B241" s="4" t="s">
        <v>14</v>
      </c>
      <c r="C241" s="78" t="s">
        <v>85</v>
      </c>
      <c r="D241" s="82" t="s">
        <v>87</v>
      </c>
      <c r="E241" s="90" t="s">
        <v>121</v>
      </c>
      <c r="F241" s="82">
        <v>500</v>
      </c>
      <c r="G241" s="78"/>
      <c r="H241" s="154"/>
      <c r="I241" s="144">
        <f>SUM(I242:I243)</f>
        <v>74800</v>
      </c>
      <c r="J241" s="91">
        <f>SUM(J242:J243)</f>
        <v>0</v>
      </c>
      <c r="K241" s="91">
        <f>SUM(K242:K243)</f>
        <v>74800</v>
      </c>
      <c r="L241" s="91">
        <f>SUM(L242:L243)</f>
        <v>0</v>
      </c>
      <c r="M241" s="91">
        <f>SUM(M242:M243)</f>
        <v>0</v>
      </c>
    </row>
    <row r="242" spans="1:13" ht="12" customHeight="1">
      <c r="A242" s="76"/>
      <c r="B242" s="4" t="s">
        <v>160</v>
      </c>
      <c r="C242" s="78" t="s">
        <v>85</v>
      </c>
      <c r="D242" s="82" t="s">
        <v>87</v>
      </c>
      <c r="E242" s="90" t="s">
        <v>122</v>
      </c>
      <c r="F242" s="82">
        <v>500</v>
      </c>
      <c r="G242" s="78" t="s">
        <v>174</v>
      </c>
      <c r="H242" s="172" t="s">
        <v>215</v>
      </c>
      <c r="I242" s="144">
        <f>J242+K242+L242+M242</f>
        <v>20000</v>
      </c>
      <c r="J242" s="86">
        <v>0</v>
      </c>
      <c r="K242" s="86">
        <v>20000</v>
      </c>
      <c r="L242" s="86">
        <v>0</v>
      </c>
      <c r="M242" s="86">
        <v>0</v>
      </c>
    </row>
    <row r="243" spans="1:13" ht="12.75" customHeight="1">
      <c r="A243" s="76"/>
      <c r="B243" s="4" t="s">
        <v>23</v>
      </c>
      <c r="C243" s="78" t="s">
        <v>85</v>
      </c>
      <c r="D243" s="82" t="s">
        <v>87</v>
      </c>
      <c r="E243" s="90" t="s">
        <v>122</v>
      </c>
      <c r="F243" s="82">
        <v>500</v>
      </c>
      <c r="G243" s="78" t="s">
        <v>175</v>
      </c>
      <c r="H243" s="172" t="s">
        <v>215</v>
      </c>
      <c r="I243" s="144">
        <f>J243+K243+L243+M243</f>
        <v>54800</v>
      </c>
      <c r="J243" s="86">
        <v>0</v>
      </c>
      <c r="K243" s="86">
        <v>54800</v>
      </c>
      <c r="L243" s="86">
        <v>0</v>
      </c>
      <c r="M243" s="86">
        <v>0</v>
      </c>
    </row>
    <row r="244" spans="1:13" ht="14.25">
      <c r="A244" s="88"/>
      <c r="B244" s="77" t="s">
        <v>69</v>
      </c>
      <c r="C244" s="78" t="s">
        <v>85</v>
      </c>
      <c r="D244" s="171">
        <v>1000</v>
      </c>
      <c r="E244" s="79"/>
      <c r="F244" s="79"/>
      <c r="G244" s="80"/>
      <c r="H244" s="150"/>
      <c r="I244" s="143">
        <f>I245</f>
        <v>50000</v>
      </c>
      <c r="J244" s="81">
        <f aca="true" t="shared" si="33" ref="J244:M248">J245</f>
        <v>0</v>
      </c>
      <c r="K244" s="81">
        <f t="shared" si="33"/>
        <v>0</v>
      </c>
      <c r="L244" s="81">
        <f t="shared" si="33"/>
        <v>0</v>
      </c>
      <c r="M244" s="81">
        <f t="shared" si="33"/>
        <v>50000</v>
      </c>
    </row>
    <row r="245" spans="1:13" ht="14.25">
      <c r="A245" s="88"/>
      <c r="B245" s="4" t="s">
        <v>70</v>
      </c>
      <c r="C245" s="78" t="s">
        <v>85</v>
      </c>
      <c r="D245" s="82">
        <v>1003</v>
      </c>
      <c r="E245" s="82"/>
      <c r="F245" s="82"/>
      <c r="G245" s="78"/>
      <c r="H245" s="154"/>
      <c r="I245" s="144">
        <f>I246</f>
        <v>50000</v>
      </c>
      <c r="J245" s="85">
        <f t="shared" si="33"/>
        <v>0</v>
      </c>
      <c r="K245" s="85">
        <f t="shared" si="33"/>
        <v>0</v>
      </c>
      <c r="L245" s="85">
        <f t="shared" si="33"/>
        <v>0</v>
      </c>
      <c r="M245" s="85">
        <f t="shared" si="33"/>
        <v>50000</v>
      </c>
    </row>
    <row r="246" spans="1:13" ht="22.5" customHeight="1">
      <c r="A246" s="88"/>
      <c r="B246" s="4" t="s">
        <v>71</v>
      </c>
      <c r="C246" s="78" t="s">
        <v>85</v>
      </c>
      <c r="D246" s="82">
        <v>1003</v>
      </c>
      <c r="E246" s="82" t="s">
        <v>199</v>
      </c>
      <c r="F246" s="82"/>
      <c r="G246" s="78"/>
      <c r="H246" s="154"/>
      <c r="I246" s="144">
        <f>I247</f>
        <v>50000</v>
      </c>
      <c r="J246" s="85">
        <f t="shared" si="33"/>
        <v>0</v>
      </c>
      <c r="K246" s="85">
        <f t="shared" si="33"/>
        <v>0</v>
      </c>
      <c r="L246" s="85">
        <f t="shared" si="33"/>
        <v>0</v>
      </c>
      <c r="M246" s="85">
        <f t="shared" si="33"/>
        <v>50000</v>
      </c>
    </row>
    <row r="247" spans="1:13" ht="12.75" customHeight="1">
      <c r="A247" s="88"/>
      <c r="B247" s="4" t="s">
        <v>72</v>
      </c>
      <c r="C247" s="78" t="s">
        <v>85</v>
      </c>
      <c r="D247" s="82">
        <v>1003</v>
      </c>
      <c r="E247" s="82" t="s">
        <v>199</v>
      </c>
      <c r="F247" s="82"/>
      <c r="G247" s="78"/>
      <c r="H247" s="154"/>
      <c r="I247" s="144">
        <f>I248</f>
        <v>50000</v>
      </c>
      <c r="J247" s="85">
        <f t="shared" si="33"/>
        <v>0</v>
      </c>
      <c r="K247" s="85">
        <f t="shared" si="33"/>
        <v>0</v>
      </c>
      <c r="L247" s="85">
        <f t="shared" si="33"/>
        <v>0</v>
      </c>
      <c r="M247" s="85">
        <f t="shared" si="33"/>
        <v>50000</v>
      </c>
    </row>
    <row r="248" spans="1:13" ht="14.25">
      <c r="A248" s="88"/>
      <c r="B248" s="4" t="s">
        <v>14</v>
      </c>
      <c r="C248" s="78" t="s">
        <v>85</v>
      </c>
      <c r="D248" s="82">
        <v>1003</v>
      </c>
      <c r="E248" s="82" t="s">
        <v>199</v>
      </c>
      <c r="F248" s="82" t="s">
        <v>105</v>
      </c>
      <c r="G248" s="78"/>
      <c r="H248" s="154"/>
      <c r="I248" s="144">
        <f>I249</f>
        <v>50000</v>
      </c>
      <c r="J248" s="85">
        <f t="shared" si="33"/>
        <v>0</v>
      </c>
      <c r="K248" s="85">
        <f t="shared" si="33"/>
        <v>0</v>
      </c>
      <c r="L248" s="85">
        <f t="shared" si="33"/>
        <v>0</v>
      </c>
      <c r="M248" s="85">
        <f t="shared" si="33"/>
        <v>50000</v>
      </c>
    </row>
    <row r="249" spans="1:13" ht="16.5">
      <c r="A249" s="88"/>
      <c r="B249" s="4" t="s">
        <v>23</v>
      </c>
      <c r="C249" s="78" t="s">
        <v>85</v>
      </c>
      <c r="D249" s="82">
        <v>1003</v>
      </c>
      <c r="E249" s="82" t="s">
        <v>199</v>
      </c>
      <c r="F249" s="82" t="s">
        <v>105</v>
      </c>
      <c r="G249" s="78" t="s">
        <v>175</v>
      </c>
      <c r="H249" s="172" t="s">
        <v>215</v>
      </c>
      <c r="I249" s="144">
        <f>SUM(J249:M249)</f>
        <v>50000</v>
      </c>
      <c r="J249" s="86">
        <v>0</v>
      </c>
      <c r="K249" s="86">
        <v>0</v>
      </c>
      <c r="L249" s="86">
        <v>0</v>
      </c>
      <c r="M249" s="86">
        <v>50000</v>
      </c>
    </row>
    <row r="250" spans="1:13" ht="14.25">
      <c r="A250" s="88"/>
      <c r="B250" s="77" t="s">
        <v>76</v>
      </c>
      <c r="C250" s="78" t="s">
        <v>85</v>
      </c>
      <c r="D250" s="90"/>
      <c r="E250" s="90"/>
      <c r="F250" s="90"/>
      <c r="G250" s="80"/>
      <c r="H250" s="150"/>
      <c r="I250" s="143">
        <f>I224+I237+I244</f>
        <v>6700600</v>
      </c>
      <c r="J250" s="81">
        <f>J224+J237+J244</f>
        <v>0</v>
      </c>
      <c r="K250" s="81">
        <f>K224+K237+K244</f>
        <v>3074800</v>
      </c>
      <c r="L250" s="81">
        <f>L224+L237+L244</f>
        <v>3550000</v>
      </c>
      <c r="M250" s="81">
        <f>M224+M237+M244</f>
        <v>75800</v>
      </c>
    </row>
    <row r="251" spans="1:13" ht="3.75" customHeight="1">
      <c r="A251" s="92"/>
      <c r="B251" s="93"/>
      <c r="C251" s="94"/>
      <c r="D251" s="95"/>
      <c r="E251" s="95"/>
      <c r="F251" s="95"/>
      <c r="G251" s="96"/>
      <c r="H251" s="164"/>
      <c r="I251" s="97"/>
      <c r="J251" s="98"/>
      <c r="K251" s="98"/>
      <c r="L251" s="98"/>
      <c r="M251" s="98"/>
    </row>
    <row r="252" spans="1:13" ht="16.5" customHeight="1">
      <c r="A252" s="92"/>
      <c r="B252" s="72" t="s">
        <v>143</v>
      </c>
      <c r="C252" s="94"/>
      <c r="D252" s="95"/>
      <c r="E252" s="95"/>
      <c r="F252" s="95"/>
      <c r="G252" s="96"/>
      <c r="H252" s="164"/>
      <c r="I252" s="97"/>
      <c r="J252" s="98"/>
      <c r="K252" s="98"/>
      <c r="L252" s="98"/>
      <c r="M252" s="98"/>
    </row>
    <row r="253" spans="1:13" ht="16.5" customHeight="1">
      <c r="A253" s="71"/>
      <c r="B253" s="72" t="s">
        <v>142</v>
      </c>
      <c r="C253" s="72"/>
      <c r="D253" s="72"/>
      <c r="E253" s="72"/>
      <c r="F253" s="72"/>
      <c r="G253" s="72"/>
      <c r="H253" s="163"/>
      <c r="I253" s="73"/>
      <c r="J253" s="98"/>
      <c r="K253" s="72"/>
      <c r="L253" s="98"/>
      <c r="M253" s="72"/>
    </row>
    <row r="254" spans="1:13" ht="13.5" customHeight="1">
      <c r="A254" s="71"/>
      <c r="B254" s="74" t="s">
        <v>200</v>
      </c>
      <c r="C254" s="74"/>
      <c r="D254" s="74"/>
      <c r="E254" s="74"/>
      <c r="F254" s="74"/>
      <c r="G254" s="74"/>
      <c r="H254" s="163"/>
      <c r="I254" s="99"/>
      <c r="J254" s="74"/>
      <c r="K254" s="74"/>
      <c r="L254" s="74"/>
      <c r="M254" s="74"/>
    </row>
    <row r="255" spans="1:13" ht="14.25">
      <c r="A255" s="263" t="s">
        <v>193</v>
      </c>
      <c r="B255" s="263" t="s">
        <v>2</v>
      </c>
      <c r="C255" s="264"/>
      <c r="D255" s="298" t="s">
        <v>3</v>
      </c>
      <c r="E255" s="264" t="s">
        <v>4</v>
      </c>
      <c r="F255" s="264" t="s">
        <v>5</v>
      </c>
      <c r="G255" s="264" t="s">
        <v>194</v>
      </c>
      <c r="H255" s="266" t="s">
        <v>214</v>
      </c>
      <c r="I255" s="265" t="s">
        <v>195</v>
      </c>
      <c r="J255" s="303" t="s">
        <v>152</v>
      </c>
      <c r="K255" s="303"/>
      <c r="L255" s="303"/>
      <c r="M255" s="303"/>
    </row>
    <row r="256" spans="1:13" ht="14.25">
      <c r="A256" s="263"/>
      <c r="B256" s="263"/>
      <c r="C256" s="264"/>
      <c r="D256" s="298"/>
      <c r="E256" s="264"/>
      <c r="F256" s="264"/>
      <c r="G256" s="264"/>
      <c r="H256" s="297"/>
      <c r="I256" s="265"/>
      <c r="J256" s="134" t="s">
        <v>153</v>
      </c>
      <c r="K256" s="134" t="s">
        <v>154</v>
      </c>
      <c r="L256" s="134" t="s">
        <v>155</v>
      </c>
      <c r="M256" s="134" t="s">
        <v>156</v>
      </c>
    </row>
    <row r="257" spans="1:13" ht="12.75" customHeight="1">
      <c r="A257" s="76"/>
      <c r="B257" s="100" t="s">
        <v>58</v>
      </c>
      <c r="C257" s="80"/>
      <c r="D257" s="101" t="s">
        <v>101</v>
      </c>
      <c r="E257" s="102"/>
      <c r="F257" s="102"/>
      <c r="G257" s="103"/>
      <c r="H257" s="165"/>
      <c r="I257" s="143">
        <f aca="true" t="shared" si="34" ref="I257:M262">I258</f>
        <v>14005605.01</v>
      </c>
      <c r="J257" s="104">
        <f>J263</f>
        <v>3832743.38</v>
      </c>
      <c r="K257" s="104">
        <f>K263</f>
        <v>3739091.55</v>
      </c>
      <c r="L257" s="104">
        <f>L263</f>
        <v>3334841.5700000003</v>
      </c>
      <c r="M257" s="104">
        <f>M263</f>
        <v>3098928.51</v>
      </c>
    </row>
    <row r="258" spans="1:13" ht="12.75" customHeight="1">
      <c r="A258" s="76"/>
      <c r="B258" s="4" t="s">
        <v>59</v>
      </c>
      <c r="C258" s="78" t="s">
        <v>85</v>
      </c>
      <c r="D258" s="82" t="s">
        <v>102</v>
      </c>
      <c r="E258" s="82"/>
      <c r="F258" s="82"/>
      <c r="G258" s="78"/>
      <c r="H258" s="154"/>
      <c r="I258" s="144">
        <f t="shared" si="34"/>
        <v>14005605.01</v>
      </c>
      <c r="J258" s="91">
        <f t="shared" si="34"/>
        <v>3832743.38</v>
      </c>
      <c r="K258" s="91">
        <f t="shared" si="34"/>
        <v>3739091.55</v>
      </c>
      <c r="L258" s="91">
        <f t="shared" si="34"/>
        <v>3334841.5700000003</v>
      </c>
      <c r="M258" s="91">
        <f t="shared" si="34"/>
        <v>3098928.51</v>
      </c>
    </row>
    <row r="259" spans="1:13" ht="14.25">
      <c r="A259" s="76" t="s">
        <v>60</v>
      </c>
      <c r="B259" s="4" t="s">
        <v>61</v>
      </c>
      <c r="C259" s="78" t="s">
        <v>85</v>
      </c>
      <c r="D259" s="82"/>
      <c r="E259" s="82"/>
      <c r="F259" s="82"/>
      <c r="G259" s="78"/>
      <c r="H259" s="154"/>
      <c r="I259" s="144">
        <f t="shared" si="34"/>
        <v>14005605.01</v>
      </c>
      <c r="J259" s="91">
        <f t="shared" si="34"/>
        <v>3832743.38</v>
      </c>
      <c r="K259" s="91">
        <f t="shared" si="34"/>
        <v>3739091.55</v>
      </c>
      <c r="L259" s="91">
        <f t="shared" si="34"/>
        <v>3334841.5700000003</v>
      </c>
      <c r="M259" s="91">
        <f t="shared" si="34"/>
        <v>3098928.51</v>
      </c>
    </row>
    <row r="260" spans="1:13" ht="24" customHeight="1">
      <c r="A260" s="76"/>
      <c r="B260" s="4" t="s">
        <v>62</v>
      </c>
      <c r="C260" s="78" t="s">
        <v>85</v>
      </c>
      <c r="D260" s="82" t="s">
        <v>102</v>
      </c>
      <c r="E260" s="82">
        <v>4400000</v>
      </c>
      <c r="F260" s="82"/>
      <c r="G260" s="78"/>
      <c r="H260" s="154"/>
      <c r="I260" s="144">
        <f t="shared" si="34"/>
        <v>14005605.01</v>
      </c>
      <c r="J260" s="91">
        <f t="shared" si="34"/>
        <v>3832743.38</v>
      </c>
      <c r="K260" s="91">
        <f t="shared" si="34"/>
        <v>3739091.55</v>
      </c>
      <c r="L260" s="91">
        <f t="shared" si="34"/>
        <v>3334841.5700000003</v>
      </c>
      <c r="M260" s="91">
        <f t="shared" si="34"/>
        <v>3098928.51</v>
      </c>
    </row>
    <row r="261" spans="1:13" ht="12" customHeight="1">
      <c r="A261" s="76"/>
      <c r="B261" s="4" t="s">
        <v>63</v>
      </c>
      <c r="C261" s="78" t="s">
        <v>85</v>
      </c>
      <c r="D261" s="82" t="s">
        <v>102</v>
      </c>
      <c r="E261" s="82">
        <v>4409900</v>
      </c>
      <c r="F261" s="82"/>
      <c r="G261" s="78"/>
      <c r="H261" s="154"/>
      <c r="I261" s="144">
        <f t="shared" si="34"/>
        <v>14005605.01</v>
      </c>
      <c r="J261" s="91">
        <f t="shared" si="34"/>
        <v>3832743.38</v>
      </c>
      <c r="K261" s="91">
        <f t="shared" si="34"/>
        <v>3739091.55</v>
      </c>
      <c r="L261" s="91">
        <f t="shared" si="34"/>
        <v>3334841.5700000003</v>
      </c>
      <c r="M261" s="91">
        <f t="shared" si="34"/>
        <v>3098928.51</v>
      </c>
    </row>
    <row r="262" spans="1:13" ht="11.25" customHeight="1">
      <c r="A262" s="76"/>
      <c r="B262" s="4" t="s">
        <v>64</v>
      </c>
      <c r="C262" s="78" t="s">
        <v>85</v>
      </c>
      <c r="D262" s="82" t="s">
        <v>102</v>
      </c>
      <c r="E262" s="82">
        <v>4409900</v>
      </c>
      <c r="F262" s="82" t="s">
        <v>107</v>
      </c>
      <c r="G262" s="78"/>
      <c r="H262" s="154"/>
      <c r="I262" s="144">
        <f>I263</f>
        <v>14005605.01</v>
      </c>
      <c r="J262" s="91">
        <f t="shared" si="34"/>
        <v>3832743.38</v>
      </c>
      <c r="K262" s="91">
        <f t="shared" si="34"/>
        <v>3739091.55</v>
      </c>
      <c r="L262" s="91">
        <f t="shared" si="34"/>
        <v>3334841.5700000003</v>
      </c>
      <c r="M262" s="91">
        <f t="shared" si="34"/>
        <v>3098928.51</v>
      </c>
    </row>
    <row r="263" spans="1:13" ht="12.75" customHeight="1">
      <c r="A263" s="88"/>
      <c r="B263" s="4" t="s">
        <v>64</v>
      </c>
      <c r="C263" s="78" t="s">
        <v>85</v>
      </c>
      <c r="D263" s="82" t="s">
        <v>102</v>
      </c>
      <c r="E263" s="82">
        <v>4409900</v>
      </c>
      <c r="F263" s="82" t="s">
        <v>107</v>
      </c>
      <c r="G263" s="78"/>
      <c r="H263" s="154"/>
      <c r="I263" s="144">
        <f>SUM(I264:I273)</f>
        <v>14005605.01</v>
      </c>
      <c r="J263" s="91">
        <f>SUM(J264:J273)</f>
        <v>3832743.38</v>
      </c>
      <c r="K263" s="91">
        <f>SUM(K264:K273)</f>
        <v>3739091.55</v>
      </c>
      <c r="L263" s="91">
        <f>SUM(L264:L273)</f>
        <v>3334841.5700000003</v>
      </c>
      <c r="M263" s="91">
        <f>SUM(M264:M273)</f>
        <v>3098928.51</v>
      </c>
    </row>
    <row r="264" spans="1:13" ht="11.25" customHeight="1">
      <c r="A264" s="76"/>
      <c r="B264" s="4" t="s">
        <v>166</v>
      </c>
      <c r="C264" s="78" t="s">
        <v>85</v>
      </c>
      <c r="D264" s="82" t="s">
        <v>102</v>
      </c>
      <c r="E264" s="82">
        <v>4409900</v>
      </c>
      <c r="F264" s="82" t="s">
        <v>107</v>
      </c>
      <c r="G264" s="78">
        <v>211</v>
      </c>
      <c r="H264" s="154"/>
      <c r="I264" s="144">
        <f>SUM(J264:M264)</f>
        <v>7483260.37</v>
      </c>
      <c r="J264" s="135">
        <f>1247210.06+500000</f>
        <v>1747210.06</v>
      </c>
      <c r="K264" s="135">
        <v>1870815.09</v>
      </c>
      <c r="L264" s="135">
        <v>1870815.1</v>
      </c>
      <c r="M264" s="135">
        <f>2494420.12-500000</f>
        <v>1994420.12</v>
      </c>
    </row>
    <row r="265" spans="1:13" ht="12" customHeight="1">
      <c r="A265" s="76"/>
      <c r="B265" s="4" t="s">
        <v>168</v>
      </c>
      <c r="C265" s="78" t="s">
        <v>85</v>
      </c>
      <c r="D265" s="82" t="s">
        <v>102</v>
      </c>
      <c r="E265" s="82">
        <v>4409900</v>
      </c>
      <c r="F265" s="82" t="s">
        <v>107</v>
      </c>
      <c r="G265" s="78">
        <v>213</v>
      </c>
      <c r="H265" s="154"/>
      <c r="I265" s="144">
        <f>SUM(J265:M265)</f>
        <v>2050523.02</v>
      </c>
      <c r="J265" s="135">
        <f>341753.84+80000</f>
        <v>421753.84</v>
      </c>
      <c r="K265" s="135">
        <v>512630.75</v>
      </c>
      <c r="L265" s="135">
        <v>512630.76</v>
      </c>
      <c r="M265" s="135">
        <f>683507.67-80000</f>
        <v>603507.67</v>
      </c>
    </row>
    <row r="266" spans="1:13" ht="12" customHeight="1">
      <c r="A266" s="76"/>
      <c r="B266" s="4" t="s">
        <v>157</v>
      </c>
      <c r="C266" s="78" t="s">
        <v>85</v>
      </c>
      <c r="D266" s="82" t="s">
        <v>102</v>
      </c>
      <c r="E266" s="82">
        <v>4409900</v>
      </c>
      <c r="F266" s="82" t="s">
        <v>107</v>
      </c>
      <c r="G266" s="78">
        <v>221</v>
      </c>
      <c r="H266" s="154"/>
      <c r="I266" s="144">
        <f aca="true" t="shared" si="35" ref="I266:I272">SUM(J266:M266)</f>
        <v>204000</v>
      </c>
      <c r="J266" s="135">
        <v>51000</v>
      </c>
      <c r="K266" s="135">
        <v>51000</v>
      </c>
      <c r="L266" s="135">
        <v>51000</v>
      </c>
      <c r="M266" s="135">
        <v>51000</v>
      </c>
    </row>
    <row r="267" spans="1:13" ht="12.75" customHeight="1">
      <c r="A267" s="76"/>
      <c r="B267" s="4" t="s">
        <v>158</v>
      </c>
      <c r="C267" s="78" t="s">
        <v>85</v>
      </c>
      <c r="D267" s="82" t="s">
        <v>102</v>
      </c>
      <c r="E267" s="82">
        <v>4409900</v>
      </c>
      <c r="F267" s="82" t="s">
        <v>107</v>
      </c>
      <c r="G267" s="78" t="s">
        <v>171</v>
      </c>
      <c r="H267" s="154"/>
      <c r="I267" s="144">
        <f t="shared" si="35"/>
        <v>30000</v>
      </c>
      <c r="J267" s="135">
        <v>7500</v>
      </c>
      <c r="K267" s="135">
        <f>7500+15000</f>
        <v>22500</v>
      </c>
      <c r="L267" s="135">
        <f>7500-7500</f>
        <v>0</v>
      </c>
      <c r="M267" s="135">
        <f>7500-7500</f>
        <v>0</v>
      </c>
    </row>
    <row r="268" spans="1:13" ht="12.75" customHeight="1">
      <c r="A268" s="76"/>
      <c r="B268" s="4" t="s">
        <v>169</v>
      </c>
      <c r="C268" s="78" t="s">
        <v>85</v>
      </c>
      <c r="D268" s="82" t="s">
        <v>102</v>
      </c>
      <c r="E268" s="82">
        <v>4409900</v>
      </c>
      <c r="F268" s="82" t="s">
        <v>107</v>
      </c>
      <c r="G268" s="78">
        <v>223</v>
      </c>
      <c r="H268" s="154"/>
      <c r="I268" s="144">
        <f t="shared" si="35"/>
        <v>1777582.8399999999</v>
      </c>
      <c r="J268" s="135">
        <f>444395.71+400000</f>
        <v>844395.71</v>
      </c>
      <c r="K268" s="135">
        <v>444395.71</v>
      </c>
      <c r="L268" s="135">
        <v>444395.71</v>
      </c>
      <c r="M268" s="135">
        <f>444395.71-400000</f>
        <v>44395.71000000002</v>
      </c>
    </row>
    <row r="269" spans="1:13" ht="12" customHeight="1">
      <c r="A269" s="76"/>
      <c r="B269" s="4" t="s">
        <v>159</v>
      </c>
      <c r="C269" s="78" t="s">
        <v>85</v>
      </c>
      <c r="D269" s="82" t="s">
        <v>102</v>
      </c>
      <c r="E269" s="82">
        <v>4409900</v>
      </c>
      <c r="F269" s="82" t="s">
        <v>107</v>
      </c>
      <c r="G269" s="78">
        <v>225</v>
      </c>
      <c r="H269" s="154"/>
      <c r="I269" s="144">
        <f>SUM(J269:M269)</f>
        <v>1084105.01</v>
      </c>
      <c r="J269" s="135">
        <f>292750+100000</f>
        <v>392750</v>
      </c>
      <c r="K269" s="135">
        <f>292750-150000+100000+115000</f>
        <v>357750</v>
      </c>
      <c r="L269" s="135">
        <f>292750-150000</f>
        <v>142750</v>
      </c>
      <c r="M269" s="135">
        <f>292750-101894.99</f>
        <v>190855.01</v>
      </c>
    </row>
    <row r="270" spans="1:13" ht="12" customHeight="1">
      <c r="A270" s="76"/>
      <c r="B270" s="4" t="s">
        <v>160</v>
      </c>
      <c r="C270" s="78" t="s">
        <v>85</v>
      </c>
      <c r="D270" s="82" t="s">
        <v>102</v>
      </c>
      <c r="E270" s="82">
        <v>4409900</v>
      </c>
      <c r="F270" s="82" t="s">
        <v>107</v>
      </c>
      <c r="G270" s="78">
        <v>226</v>
      </c>
      <c r="H270" s="154"/>
      <c r="I270" s="144">
        <f t="shared" si="35"/>
        <v>652000</v>
      </c>
      <c r="J270" s="135">
        <f>176750+7000</f>
        <v>183750</v>
      </c>
      <c r="K270" s="135">
        <v>176750</v>
      </c>
      <c r="L270" s="135">
        <v>176750</v>
      </c>
      <c r="M270" s="135">
        <f>176750-7000-55000</f>
        <v>114750</v>
      </c>
    </row>
    <row r="271" spans="1:13" ht="12" customHeight="1">
      <c r="A271" s="76"/>
      <c r="B271" s="4" t="s">
        <v>23</v>
      </c>
      <c r="C271" s="78" t="s">
        <v>85</v>
      </c>
      <c r="D271" s="82" t="s">
        <v>102</v>
      </c>
      <c r="E271" s="82">
        <v>4409900</v>
      </c>
      <c r="F271" s="82" t="s">
        <v>107</v>
      </c>
      <c r="G271" s="78">
        <v>290</v>
      </c>
      <c r="H271" s="154"/>
      <c r="I271" s="144">
        <f t="shared" si="35"/>
        <v>10000</v>
      </c>
      <c r="J271" s="135">
        <f>15000-15000</f>
        <v>0</v>
      </c>
      <c r="K271" s="135">
        <f>15000-5000</f>
        <v>10000</v>
      </c>
      <c r="L271" s="135">
        <f>15000-15000</f>
        <v>0</v>
      </c>
      <c r="M271" s="135">
        <f>15000-5000-10000</f>
        <v>0</v>
      </c>
    </row>
    <row r="272" spans="1:13" ht="11.25" customHeight="1">
      <c r="A272" s="76"/>
      <c r="B272" s="4" t="s">
        <v>161</v>
      </c>
      <c r="C272" s="78" t="s">
        <v>85</v>
      </c>
      <c r="D272" s="82" t="s">
        <v>102</v>
      </c>
      <c r="E272" s="82">
        <v>4409900</v>
      </c>
      <c r="F272" s="82" t="s">
        <v>107</v>
      </c>
      <c r="G272" s="78">
        <v>310</v>
      </c>
      <c r="H272" s="154"/>
      <c r="I272" s="144">
        <f t="shared" si="35"/>
        <v>343000</v>
      </c>
      <c r="J272" s="135">
        <v>113250</v>
      </c>
      <c r="K272" s="135">
        <f>113250+80000</f>
        <v>193250</v>
      </c>
      <c r="L272" s="135">
        <f>113250-76750</f>
        <v>36500</v>
      </c>
      <c r="M272" s="135">
        <f>113250-50000-60000-3250</f>
        <v>0</v>
      </c>
    </row>
    <row r="273" spans="1:13" ht="11.25" customHeight="1">
      <c r="A273" s="76"/>
      <c r="B273" s="4" t="s">
        <v>162</v>
      </c>
      <c r="C273" s="78" t="s">
        <v>85</v>
      </c>
      <c r="D273" s="82" t="s">
        <v>102</v>
      </c>
      <c r="E273" s="82">
        <v>4409900</v>
      </c>
      <c r="F273" s="82" t="s">
        <v>107</v>
      </c>
      <c r="G273" s="78">
        <v>340</v>
      </c>
      <c r="H273" s="154"/>
      <c r="I273" s="144">
        <f>SUM(J273:M273)</f>
        <v>371133.77</v>
      </c>
      <c r="J273" s="135">
        <v>71133.77</v>
      </c>
      <c r="K273" s="135">
        <v>100000</v>
      </c>
      <c r="L273" s="135">
        <v>100000</v>
      </c>
      <c r="M273" s="135">
        <v>100000</v>
      </c>
    </row>
    <row r="274" spans="1:13" ht="15.75" customHeight="1">
      <c r="A274"/>
      <c r="B274" s="105" t="s">
        <v>212</v>
      </c>
      <c r="C274" s="105"/>
      <c r="D274" s="105"/>
      <c r="E274" s="105"/>
      <c r="F274" s="105"/>
      <c r="G274" s="105"/>
      <c r="H274" s="166"/>
      <c r="I274" s="106"/>
      <c r="J274" s="105"/>
      <c r="K274" s="105"/>
      <c r="L274" s="105"/>
      <c r="M274" s="107"/>
    </row>
    <row r="275" spans="1:13" ht="12" customHeight="1">
      <c r="A275"/>
      <c r="B275" s="74" t="s">
        <v>201</v>
      </c>
      <c r="C275" s="74"/>
      <c r="D275" s="74"/>
      <c r="E275" s="74"/>
      <c r="F275" s="74"/>
      <c r="G275" s="74"/>
      <c r="H275" s="163"/>
      <c r="I275" s="99"/>
      <c r="J275" s="74"/>
      <c r="K275" s="74"/>
      <c r="L275" s="74"/>
      <c r="M275" s="107"/>
    </row>
    <row r="276" spans="1:13" ht="14.25">
      <c r="A276" s="263" t="s">
        <v>193</v>
      </c>
      <c r="B276" s="263" t="s">
        <v>202</v>
      </c>
      <c r="C276" s="264"/>
      <c r="D276" s="298" t="s">
        <v>3</v>
      </c>
      <c r="E276" s="264" t="s">
        <v>4</v>
      </c>
      <c r="F276" s="264" t="s">
        <v>5</v>
      </c>
      <c r="G276" s="264" t="s">
        <v>194</v>
      </c>
      <c r="H276" s="266" t="s">
        <v>214</v>
      </c>
      <c r="I276" s="265" t="s">
        <v>203</v>
      </c>
      <c r="J276" s="263" t="s">
        <v>152</v>
      </c>
      <c r="K276" s="263"/>
      <c r="L276" s="263"/>
      <c r="M276" s="263"/>
    </row>
    <row r="277" spans="1:13" ht="14.25">
      <c r="A277" s="263"/>
      <c r="B277" s="263"/>
      <c r="C277" s="264"/>
      <c r="D277" s="298"/>
      <c r="E277" s="264"/>
      <c r="F277" s="264"/>
      <c r="G277" s="264"/>
      <c r="H277" s="297"/>
      <c r="I277" s="265"/>
      <c r="J277" s="75" t="s">
        <v>153</v>
      </c>
      <c r="K277" s="75" t="s">
        <v>154</v>
      </c>
      <c r="L277" s="75" t="s">
        <v>155</v>
      </c>
      <c r="M277" s="75" t="s">
        <v>156</v>
      </c>
    </row>
    <row r="278" spans="1:13" ht="25.5">
      <c r="A278" s="108"/>
      <c r="B278" s="100" t="s">
        <v>58</v>
      </c>
      <c r="C278" s="80" t="s">
        <v>85</v>
      </c>
      <c r="D278" s="101" t="s">
        <v>101</v>
      </c>
      <c r="E278" s="109"/>
      <c r="F278" s="109"/>
      <c r="G278" s="110"/>
      <c r="H278" s="167"/>
      <c r="I278" s="145">
        <f>I279</f>
        <v>341000</v>
      </c>
      <c r="J278" s="111">
        <f aca="true" t="shared" si="36" ref="I278:M281">J279</f>
        <v>210750</v>
      </c>
      <c r="K278" s="111">
        <f t="shared" si="36"/>
        <v>130250</v>
      </c>
      <c r="L278" s="111">
        <f t="shared" si="36"/>
        <v>0</v>
      </c>
      <c r="M278" s="111">
        <f t="shared" si="36"/>
        <v>0</v>
      </c>
    </row>
    <row r="279" spans="1:13" ht="12.75" customHeight="1">
      <c r="A279" s="108"/>
      <c r="B279" s="112" t="s">
        <v>59</v>
      </c>
      <c r="C279" s="78" t="s">
        <v>85</v>
      </c>
      <c r="D279" s="113" t="s">
        <v>102</v>
      </c>
      <c r="E279" s="109"/>
      <c r="F279" s="109"/>
      <c r="G279" s="110"/>
      <c r="H279" s="167"/>
      <c r="I279" s="144">
        <f t="shared" si="36"/>
        <v>341000</v>
      </c>
      <c r="J279" s="114">
        <f t="shared" si="36"/>
        <v>210750</v>
      </c>
      <c r="K279" s="114">
        <f t="shared" si="36"/>
        <v>130250</v>
      </c>
      <c r="L279" s="114">
        <f t="shared" si="36"/>
        <v>0</v>
      </c>
      <c r="M279" s="114">
        <f t="shared" si="36"/>
        <v>0</v>
      </c>
    </row>
    <row r="280" spans="1:13" ht="22.5" customHeight="1">
      <c r="A280" s="108"/>
      <c r="B280" s="115" t="s">
        <v>62</v>
      </c>
      <c r="C280" s="78" t="s">
        <v>85</v>
      </c>
      <c r="D280" s="116" t="s">
        <v>102</v>
      </c>
      <c r="E280" s="116">
        <v>4400000</v>
      </c>
      <c r="F280" s="109"/>
      <c r="G280" s="110"/>
      <c r="H280" s="167"/>
      <c r="I280" s="144">
        <f t="shared" si="36"/>
        <v>341000</v>
      </c>
      <c r="J280" s="114">
        <f t="shared" si="36"/>
        <v>210750</v>
      </c>
      <c r="K280" s="114">
        <f t="shared" si="36"/>
        <v>130250</v>
      </c>
      <c r="L280" s="114">
        <f t="shared" si="36"/>
        <v>0</v>
      </c>
      <c r="M280" s="114">
        <f t="shared" si="36"/>
        <v>0</v>
      </c>
    </row>
    <row r="281" spans="1:13" ht="11.25" customHeight="1">
      <c r="A281" s="108"/>
      <c r="B281" s="112" t="s">
        <v>63</v>
      </c>
      <c r="C281" s="78" t="s">
        <v>85</v>
      </c>
      <c r="D281" s="113" t="s">
        <v>102</v>
      </c>
      <c r="E281" s="113">
        <v>4409900</v>
      </c>
      <c r="F281" s="117"/>
      <c r="G281" s="110"/>
      <c r="H281" s="167"/>
      <c r="I281" s="144">
        <f t="shared" si="36"/>
        <v>341000</v>
      </c>
      <c r="J281" s="114">
        <f t="shared" si="36"/>
        <v>210750</v>
      </c>
      <c r="K281" s="114">
        <f t="shared" si="36"/>
        <v>130250</v>
      </c>
      <c r="L281" s="114">
        <f t="shared" si="36"/>
        <v>0</v>
      </c>
      <c r="M281" s="114">
        <f t="shared" si="36"/>
        <v>0</v>
      </c>
    </row>
    <row r="282" spans="1:13" ht="10.5" customHeight="1">
      <c r="A282" s="76"/>
      <c r="B282" s="4" t="s">
        <v>64</v>
      </c>
      <c r="C282" s="78" t="s">
        <v>85</v>
      </c>
      <c r="D282" s="116" t="s">
        <v>102</v>
      </c>
      <c r="E282" s="82">
        <v>4409900</v>
      </c>
      <c r="F282" s="82" t="s">
        <v>107</v>
      </c>
      <c r="G282" s="78"/>
      <c r="H282" s="154"/>
      <c r="I282" s="144">
        <f>I283+I284+I285</f>
        <v>341000</v>
      </c>
      <c r="J282" s="91">
        <f>J283+J284+J285</f>
        <v>210750</v>
      </c>
      <c r="K282" s="91">
        <f>K283+K284+K285</f>
        <v>130250</v>
      </c>
      <c r="L282" s="91">
        <f>L283+L284+L285</f>
        <v>0</v>
      </c>
      <c r="M282" s="91">
        <f>M283+M284+M285</f>
        <v>0</v>
      </c>
    </row>
    <row r="283" spans="1:13" ht="12" customHeight="1">
      <c r="A283" s="108"/>
      <c r="B283" s="112" t="s">
        <v>160</v>
      </c>
      <c r="C283" s="78" t="s">
        <v>85</v>
      </c>
      <c r="D283" s="116" t="s">
        <v>102</v>
      </c>
      <c r="E283" s="117" t="s">
        <v>204</v>
      </c>
      <c r="F283" s="117" t="s">
        <v>107</v>
      </c>
      <c r="G283" s="110" t="s">
        <v>174</v>
      </c>
      <c r="H283" s="173" t="s">
        <v>216</v>
      </c>
      <c r="I283" s="144">
        <f>SUM(J283:M283)</f>
        <v>221000</v>
      </c>
      <c r="J283" s="114">
        <f>55250+110500</f>
        <v>165750</v>
      </c>
      <c r="K283" s="114">
        <v>55250</v>
      </c>
      <c r="L283" s="114">
        <f>55250-55250</f>
        <v>0</v>
      </c>
      <c r="M283" s="114">
        <f>55250-55250</f>
        <v>0</v>
      </c>
    </row>
    <row r="284" spans="1:13" ht="12" customHeight="1">
      <c r="A284" s="108"/>
      <c r="B284" s="133" t="s">
        <v>161</v>
      </c>
      <c r="C284" s="78" t="s">
        <v>85</v>
      </c>
      <c r="D284" s="113" t="s">
        <v>102</v>
      </c>
      <c r="E284" s="117">
        <v>4400990</v>
      </c>
      <c r="F284" s="117" t="s">
        <v>107</v>
      </c>
      <c r="G284" s="110">
        <v>310</v>
      </c>
      <c r="H284" s="173" t="s">
        <v>216</v>
      </c>
      <c r="I284" s="144">
        <v>60000</v>
      </c>
      <c r="J284" s="114">
        <f>15000</f>
        <v>15000</v>
      </c>
      <c r="K284" s="114">
        <f>60000-15000</f>
        <v>45000</v>
      </c>
      <c r="L284" s="114">
        <v>0</v>
      </c>
      <c r="M284" s="114">
        <v>0</v>
      </c>
    </row>
    <row r="285" spans="1:13" ht="11.25" customHeight="1">
      <c r="A285" s="108"/>
      <c r="B285" s="133" t="s">
        <v>162</v>
      </c>
      <c r="C285" s="78" t="s">
        <v>85</v>
      </c>
      <c r="D285" s="113" t="s">
        <v>102</v>
      </c>
      <c r="E285" s="117">
        <v>4400990</v>
      </c>
      <c r="F285" s="117" t="s">
        <v>107</v>
      </c>
      <c r="G285" s="110">
        <v>340</v>
      </c>
      <c r="H285" s="173" t="s">
        <v>216</v>
      </c>
      <c r="I285" s="144">
        <v>60000</v>
      </c>
      <c r="J285" s="114">
        <v>30000</v>
      </c>
      <c r="K285" s="114">
        <f>60000-30000</f>
        <v>30000</v>
      </c>
      <c r="L285" s="114">
        <v>0</v>
      </c>
      <c r="M285" s="114">
        <v>0</v>
      </c>
    </row>
    <row r="286" spans="1:13" ht="2.25" customHeight="1">
      <c r="A286" s="118"/>
      <c r="B286" s="119"/>
      <c r="C286" s="94"/>
      <c r="D286" s="120"/>
      <c r="E286" s="121"/>
      <c r="F286" s="121"/>
      <c r="G286" s="122"/>
      <c r="H286" s="168"/>
      <c r="I286" s="123"/>
      <c r="J286" s="124"/>
      <c r="K286" s="124"/>
      <c r="L286" s="124"/>
      <c r="M286" s="124"/>
    </row>
    <row r="287" spans="1:13" ht="15.75" customHeight="1">
      <c r="A287" s="88"/>
      <c r="B287" s="125" t="s">
        <v>205</v>
      </c>
      <c r="C287" s="125"/>
      <c r="D287" s="125"/>
      <c r="E287" s="125"/>
      <c r="F287" s="125"/>
      <c r="G287" s="125"/>
      <c r="H287" s="169"/>
      <c r="I287" s="186">
        <f>I217+I250+I257+I278</f>
        <v>190883496.51</v>
      </c>
      <c r="J287" s="84">
        <f>J217+J250+J257+J278</f>
        <v>14251941.078333333</v>
      </c>
      <c r="K287" s="84">
        <f>K217+K250+K257+K278</f>
        <v>128080443.1725</v>
      </c>
      <c r="L287" s="84">
        <f>L217+L250+L257+L278</f>
        <v>33397545.9425</v>
      </c>
      <c r="M287" s="84">
        <f>M217+M250+M257+M278</f>
        <v>15143216.316666666</v>
      </c>
    </row>
    <row r="288" spans="1:12" ht="14.25" customHeight="1">
      <c r="A288"/>
      <c r="B288"/>
      <c r="C288" s="11"/>
      <c r="D288" s="11"/>
      <c r="E288" s="11"/>
      <c r="F288" s="11"/>
      <c r="G288" s="11"/>
      <c r="I288" s="126"/>
      <c r="J288"/>
      <c r="K288"/>
      <c r="L288"/>
    </row>
    <row r="289" spans="1:13" ht="14.25" customHeight="1">
      <c r="A289" s="128" t="s">
        <v>206</v>
      </c>
      <c r="B289"/>
      <c r="C289" s="11"/>
      <c r="D289" s="11"/>
      <c r="E289" s="11"/>
      <c r="F289" s="11"/>
      <c r="G289" s="11"/>
      <c r="H289" t="s">
        <v>207</v>
      </c>
      <c r="I289" s="146"/>
      <c r="K289" s="130" t="s">
        <v>208</v>
      </c>
      <c r="M289" s="131"/>
    </row>
    <row r="290" spans="1:13" ht="21" customHeight="1">
      <c r="A290" s="132" t="s">
        <v>211</v>
      </c>
      <c r="B290"/>
      <c r="C290" s="11"/>
      <c r="D290" s="11"/>
      <c r="E290" s="11"/>
      <c r="F290" s="11"/>
      <c r="G290" s="11"/>
      <c r="I290" s="146"/>
      <c r="J290"/>
      <c r="K290"/>
      <c r="L290" s="131"/>
      <c r="M290" s="127" t="s">
        <v>229</v>
      </c>
    </row>
    <row r="291" spans="1:13" ht="14.25">
      <c r="A291" s="132"/>
      <c r="B291"/>
      <c r="C291" s="11"/>
      <c r="D291" s="11"/>
      <c r="E291" s="11"/>
      <c r="F291" s="11"/>
      <c r="G291" s="11"/>
      <c r="I291" s="129">
        <f>83988256.51</f>
        <v>83988256.51</v>
      </c>
      <c r="J291"/>
      <c r="K291"/>
      <c r="L291"/>
      <c r="M291" s="131"/>
    </row>
    <row r="292" spans="9:10" ht="14.25">
      <c r="I292" s="129">
        <f>I287-I291</f>
        <v>106895239.99999999</v>
      </c>
      <c r="J292" s="32" t="s">
        <v>230</v>
      </c>
    </row>
    <row r="293" ht="14.25">
      <c r="I293" s="146"/>
    </row>
    <row r="294" ht="14.25">
      <c r="I294" s="146"/>
    </row>
    <row r="295" spans="8:10" ht="14.25">
      <c r="H295" s="178" t="s">
        <v>228</v>
      </c>
      <c r="I295" s="129">
        <f>23070300+2051000+513250+2500000+71853105+7257235</f>
        <v>107244890</v>
      </c>
      <c r="J295" s="32" t="s">
        <v>232</v>
      </c>
    </row>
    <row r="296" spans="9:10" ht="14.25">
      <c r="I296" s="129"/>
      <c r="J296" s="129"/>
    </row>
    <row r="297" ht="14.25">
      <c r="I297" s="175"/>
    </row>
    <row r="298" spans="9:10" ht="14.25">
      <c r="I298" s="175"/>
      <c r="J298" s="176"/>
    </row>
    <row r="299" spans="9:10" ht="14.25">
      <c r="I299" s="146"/>
      <c r="J299" s="176"/>
    </row>
    <row r="300" spans="9:10" ht="14.25">
      <c r="I300" s="175"/>
      <c r="J300" s="51"/>
    </row>
  </sheetData>
  <mergeCells count="40">
    <mergeCell ref="J276:M276"/>
    <mergeCell ref="I276:I277"/>
    <mergeCell ref="J222:M222"/>
    <mergeCell ref="H276:H277"/>
    <mergeCell ref="H222:H223"/>
    <mergeCell ref="J255:M255"/>
    <mergeCell ref="A11:A12"/>
    <mergeCell ref="E276:E277"/>
    <mergeCell ref="F276:F277"/>
    <mergeCell ref="G276:G277"/>
    <mergeCell ref="A276:A277"/>
    <mergeCell ref="B276:B277"/>
    <mergeCell ref="C276:C277"/>
    <mergeCell ref="D276:D277"/>
    <mergeCell ref="A255:A256"/>
    <mergeCell ref="B255:B256"/>
    <mergeCell ref="C255:C256"/>
    <mergeCell ref="D255:D256"/>
    <mergeCell ref="E255:E256"/>
    <mergeCell ref="F255:F256"/>
    <mergeCell ref="G255:G256"/>
    <mergeCell ref="I255:I256"/>
    <mergeCell ref="H255:H256"/>
    <mergeCell ref="E222:E223"/>
    <mergeCell ref="F222:F223"/>
    <mergeCell ref="G222:G223"/>
    <mergeCell ref="I222:I223"/>
    <mergeCell ref="A222:A223"/>
    <mergeCell ref="B222:B223"/>
    <mergeCell ref="C222:C223"/>
    <mergeCell ref="D222:D223"/>
    <mergeCell ref="B11:B12"/>
    <mergeCell ref="C11:C12"/>
    <mergeCell ref="D11:D12"/>
    <mergeCell ref="E11:E12"/>
    <mergeCell ref="G11:G12"/>
    <mergeCell ref="F11:F12"/>
    <mergeCell ref="I11:I12"/>
    <mergeCell ref="J11:M11"/>
    <mergeCell ref="H11:H12"/>
  </mergeCells>
  <printOptions/>
  <pageMargins left="0.15748031496062992" right="0.15748031496062992" top="0.5905511811023623" bottom="0.5905511811023623" header="0.1968503937007874" footer="0.1574803149606299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2010-12-29T09:40:26Z</cp:lastPrinted>
  <dcterms:created xsi:type="dcterms:W3CDTF">2008-11-28T06:54:19Z</dcterms:created>
  <dcterms:modified xsi:type="dcterms:W3CDTF">2010-12-29T09:42:25Z</dcterms:modified>
  <cp:category/>
  <cp:version/>
  <cp:contentType/>
  <cp:contentStatus/>
</cp:coreProperties>
</file>